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4E352E5F-5827-4813-9D84-D33F143C4590}" xr6:coauthVersionLast="47" xr6:coauthVersionMax="47" xr10:uidLastSave="{00000000-0000-0000-0000-000000000000}"/>
  <bookViews>
    <workbookView xWindow="-108" yWindow="-108" windowWidth="23256" windowHeight="12720" xr2:uid="{FA7FCE46-F212-469D-B19F-35DE0388303B}"/>
  </bookViews>
  <sheets>
    <sheet name="11" sheetId="1" r:id="rId1"/>
  </sheets>
  <externalReferences>
    <externalReference r:id="rId2"/>
  </externalReferences>
  <definedNames>
    <definedName name="newbasicPB4">[1]Sheet1!$T$4:$T$37</definedName>
    <definedName name="oldbasicPB4">[1]Sheet1!$S$4:$S$37</definedName>
    <definedName name="_xlnm.Print_Area" localSheetId="0">'11'!$J$1:$N$65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82" i="1" l="1"/>
  <c r="D179" i="1"/>
  <c r="D175" i="1"/>
  <c r="D181" i="1" s="1"/>
  <c r="E138" i="1"/>
  <c r="E136" i="1"/>
  <c r="E128" i="1"/>
  <c r="B128" i="1"/>
  <c r="C118" i="1"/>
  <c r="E126" i="1" s="1"/>
  <c r="C117" i="1"/>
  <c r="L114" i="1"/>
  <c r="C114" i="1"/>
  <c r="H111" i="1"/>
  <c r="G111" i="1"/>
  <c r="E109" i="1"/>
  <c r="E122" i="1" s="1"/>
  <c r="E135" i="1" s="1"/>
  <c r="E99" i="1"/>
  <c r="E98" i="1"/>
  <c r="E97" i="1"/>
  <c r="M65" i="1"/>
  <c r="H59" i="1"/>
  <c r="M45" i="1"/>
  <c r="M44" i="1"/>
  <c r="G42" i="1"/>
  <c r="G40" i="1"/>
  <c r="G37" i="1"/>
  <c r="H42" i="1" s="1"/>
  <c r="D37" i="1"/>
  <c r="H33" i="1"/>
  <c r="H72" i="1" s="1"/>
  <c r="G32" i="1"/>
  <c r="G31" i="1"/>
  <c r="M29" i="1"/>
  <c r="M30" i="1" s="1"/>
  <c r="G29" i="1"/>
  <c r="M28" i="1"/>
  <c r="F28" i="1"/>
  <c r="F27" i="1"/>
  <c r="E27" i="1"/>
  <c r="F26" i="1"/>
  <c r="G28" i="1" s="1"/>
  <c r="F22" i="1"/>
  <c r="G19" i="1"/>
  <c r="G18" i="1"/>
  <c r="G20" i="1" s="1"/>
  <c r="F16" i="1"/>
  <c r="G16" i="1" s="1"/>
  <c r="H16" i="1" s="1"/>
  <c r="G8" i="1"/>
  <c r="G5" i="1"/>
  <c r="G4" i="1"/>
  <c r="G7" i="1" s="1"/>
  <c r="G9" i="1" s="1"/>
  <c r="I2" i="1"/>
  <c r="H10" i="1" l="1"/>
  <c r="H69" i="1"/>
  <c r="F21" i="1"/>
  <c r="G22" i="1" s="1"/>
  <c r="H22" i="1"/>
  <c r="H70" i="1" s="1"/>
  <c r="H29" i="1"/>
  <c r="M27" i="1"/>
  <c r="A42" i="1"/>
  <c r="L115" i="1"/>
  <c r="M59" i="1"/>
  <c r="H35" i="1" l="1"/>
  <c r="E43" i="1" s="1"/>
  <c r="H43" i="1" s="1"/>
  <c r="M58" i="1"/>
  <c r="M60" i="1" s="1"/>
  <c r="M61" i="1" s="1"/>
  <c r="L116" i="1"/>
  <c r="E46" i="1"/>
  <c r="G46" i="1" s="1"/>
  <c r="H71" i="1"/>
  <c r="D74" i="1" s="1"/>
  <c r="D75" i="1" s="1"/>
  <c r="H73" i="1"/>
  <c r="C74" i="1" s="1"/>
  <c r="M46" i="1" l="1"/>
  <c r="M47" i="1" s="1"/>
  <c r="E45" i="1"/>
  <c r="G45" i="1" s="1"/>
  <c r="G47" i="1" s="1"/>
  <c r="H48" i="1" s="1"/>
  <c r="H49" i="1" s="1"/>
  <c r="C75" i="1"/>
  <c r="E75" i="1" s="1"/>
  <c r="E74" i="1"/>
  <c r="L117" i="1"/>
  <c r="M63" i="1"/>
  <c r="M64" i="1" s="1"/>
  <c r="L119" i="1" l="1"/>
  <c r="L118" i="1"/>
  <c r="E76" i="1"/>
  <c r="E77" i="1" s="1"/>
  <c r="H50" i="1"/>
  <c r="E78" i="1" l="1"/>
  <c r="E79" i="1" s="1"/>
  <c r="H51" i="1"/>
  <c r="H52" i="1" s="1"/>
  <c r="E108" i="1" l="1"/>
  <c r="E96" i="1"/>
  <c r="E101" i="1" s="1"/>
  <c r="E102" i="1" s="1"/>
  <c r="F102" i="1" s="1"/>
  <c r="H97" i="1" s="1"/>
  <c r="H98" i="1" l="1"/>
  <c r="H99" i="1" s="1"/>
  <c r="E121" i="1"/>
  <c r="E110" i="1"/>
  <c r="E111" i="1" s="1"/>
  <c r="E114" i="1" l="1"/>
  <c r="F114" i="1" s="1"/>
  <c r="G114" i="1" s="1"/>
  <c r="H114" i="1" s="1"/>
  <c r="E113" i="1"/>
  <c r="F113" i="1" s="1"/>
  <c r="G113" i="1" s="1"/>
  <c r="H113" i="1" s="1"/>
  <c r="E116" i="1"/>
  <c r="F116" i="1" s="1"/>
  <c r="G116" i="1" s="1"/>
  <c r="H116" i="1" s="1"/>
  <c r="E115" i="1"/>
  <c r="F115" i="1" s="1"/>
  <c r="G115" i="1" s="1"/>
  <c r="H115" i="1" s="1"/>
  <c r="K99" i="1"/>
  <c r="K100" i="1" s="1"/>
  <c r="K101" i="1" s="1"/>
  <c r="E134" i="1"/>
  <c r="E123" i="1"/>
  <c r="H102" i="1"/>
  <c r="H53" i="1" s="1"/>
  <c r="H55" i="1" s="1"/>
  <c r="H60" i="1" s="1"/>
  <c r="B60" i="1" s="1"/>
  <c r="E127" i="1" l="1"/>
  <c r="E125" i="1"/>
  <c r="H118" i="1"/>
  <c r="K114" i="1" l="1"/>
  <c r="E137" i="1"/>
  <c r="F127" i="1"/>
  <c r="H121" i="1" s="1"/>
  <c r="E140" i="1" l="1"/>
  <c r="E141" i="1" s="1"/>
  <c r="F141" i="1" s="1"/>
  <c r="H135" i="1" s="1"/>
  <c r="H122" i="1"/>
  <c r="H130" i="1" s="1"/>
  <c r="E139" i="1"/>
  <c r="E129" i="1"/>
  <c r="E130" i="1" s="1"/>
  <c r="E131" i="1" s="1"/>
  <c r="F131" i="1" s="1"/>
  <c r="H123" i="1" s="1"/>
  <c r="H124" i="1" s="1"/>
  <c r="H125" i="1" s="1"/>
  <c r="H126" i="1" s="1"/>
  <c r="H127" i="1" s="1"/>
  <c r="K116" i="1"/>
  <c r="K115" i="1"/>
  <c r="K127" i="1" l="1"/>
  <c r="K128" i="1" s="1"/>
  <c r="K129" i="1" s="1"/>
  <c r="H136" i="1"/>
  <c r="H137" i="1" s="1"/>
  <c r="K137" i="1"/>
  <c r="K138" i="1" s="1"/>
  <c r="K139" i="1" s="1"/>
  <c r="H140" i="1" l="1"/>
  <c r="H10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540F5BFE-ACE1-46A7-BFA1-809DF16E5E85}">
      <text>
        <r>
          <rPr>
            <b/>
            <sz val="8"/>
            <color indexed="81"/>
            <rFont val="Tahoma"/>
            <family val="2"/>
          </rPr>
          <t>RATHORE:</t>
        </r>
        <r>
          <rPr>
            <sz val="8"/>
            <color indexed="81"/>
            <rFont val="Tahoma"/>
            <family val="2"/>
          </rPr>
          <t xml:space="preserve">
</t>
        </r>
      </text>
    </comment>
    <comment ref="C57" authorId="0" shapeId="0" xr:uid="{67458BE5-558F-4C75-9942-ACE0C292EE05}">
      <text>
        <r>
          <rPr>
            <b/>
            <sz val="8"/>
            <color indexed="81"/>
            <rFont val="Tahoma"/>
            <family val="2"/>
          </rPr>
          <t>RATHORE:</t>
        </r>
        <r>
          <rPr>
            <sz val="8"/>
            <color indexed="81"/>
            <rFont val="Tahoma"/>
            <family val="2"/>
          </rPr>
          <t xml:space="preserve">
</t>
        </r>
      </text>
    </comment>
    <comment ref="B60" authorId="0" shapeId="0" xr:uid="{B876EB43-AC76-469D-995A-4F5AFE74458A}">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<sst xmlns="http://schemas.openxmlformats.org/spreadsheetml/2006/main" count="325" uniqueCount="280">
  <si>
    <t>Dr. V.K. Singhania's Book</t>
  </si>
  <si>
    <t>A S S E S S M E N T   Y E A R  :  2 0 2 1 - 2  2</t>
  </si>
  <si>
    <t xml:space="preserve">Case11  (Pension, SOP &amp; Let Out, Sale of Listed Pref Shares, Gift, 80E) </t>
  </si>
  <si>
    <t>Filing Date</t>
  </si>
  <si>
    <t>65th Edition:  August-2021</t>
  </si>
  <si>
    <t>Case Study-11</t>
  </si>
  <si>
    <t>Pgs  541-542</t>
  </si>
  <si>
    <t>Kirti Kumar Awasthi</t>
  </si>
  <si>
    <t>Exempted</t>
  </si>
  <si>
    <r>
      <t xml:space="preserve">SALARIES </t>
    </r>
    <r>
      <rPr>
        <sz val="10"/>
        <color theme="1"/>
        <rFont val="Arial"/>
        <family val="2"/>
      </rPr>
      <t>U/S 15-17</t>
    </r>
  </si>
  <si>
    <t xml:space="preserve">Pensioner </t>
  </si>
  <si>
    <t>Amount (Rs.)</t>
  </si>
  <si>
    <t xml:space="preserve">Pension </t>
  </si>
  <si>
    <t xml:space="preserve">Due date </t>
  </si>
  <si>
    <t>Sec 17(1)</t>
  </si>
  <si>
    <r>
      <t xml:space="preserve">Basic Salary and Allowances / </t>
    </r>
    <r>
      <rPr>
        <sz val="9"/>
        <color rgb="FF0000FF"/>
        <rFont val="Arial"/>
        <family val="2"/>
      </rPr>
      <t xml:space="preserve">Pension </t>
    </r>
  </si>
  <si>
    <t>Sec 17(2)</t>
  </si>
  <si>
    <t xml:space="preserve">Value of Perquisites </t>
  </si>
  <si>
    <t>System Date</t>
  </si>
  <si>
    <t>Sec 17(3)</t>
  </si>
  <si>
    <t xml:space="preserve">Profit in lieu of Salary </t>
  </si>
  <si>
    <t xml:space="preserve">Gross Salary </t>
  </si>
  <si>
    <t>Late Fees</t>
  </si>
  <si>
    <t>Sec 10</t>
  </si>
  <si>
    <t xml:space="preserve">Less Exempt Allowances </t>
  </si>
  <si>
    <t>Jan-Mar 22</t>
  </si>
  <si>
    <t xml:space="preserve">Net Salary </t>
  </si>
  <si>
    <t>Sec 16(ia)</t>
  </si>
  <si>
    <t>Less Standard  Deduction</t>
  </si>
  <si>
    <r>
      <t xml:space="preserve">HOUSE PROPERTY </t>
    </r>
    <r>
      <rPr>
        <sz val="10"/>
        <color theme="1"/>
        <rFont val="Arial"/>
        <family val="2"/>
      </rPr>
      <t>U/S 22-27</t>
    </r>
  </si>
  <si>
    <t>Resi House: C-15/25, Shivaji Nagar, Jaipur-302002</t>
  </si>
  <si>
    <t>Gr Floor</t>
  </si>
  <si>
    <t xml:space="preserve">Annual Value  </t>
  </si>
  <si>
    <t>Self-Occupied</t>
  </si>
  <si>
    <t xml:space="preserve">Nil </t>
  </si>
  <si>
    <t>Ground Floor - Self occupied</t>
  </si>
  <si>
    <t xml:space="preserve">Less  Municipal Taxes Paid </t>
  </si>
  <si>
    <t>80000 / 2</t>
  </si>
  <si>
    <t>First Floor - Let out to Rajan Hardwares Ltd</t>
  </si>
  <si>
    <t xml:space="preserve">Rent Received </t>
  </si>
  <si>
    <t>Sec 24</t>
  </si>
  <si>
    <t xml:space="preserve">LESS: Deductions </t>
  </si>
  <si>
    <t>Std Ded 30%</t>
  </si>
  <si>
    <t xml:space="preserve">Municipal Taxes (Entire Property) </t>
  </si>
  <si>
    <t xml:space="preserve">Intt on H  Loan </t>
  </si>
  <si>
    <t>Intt on Loan for purchase of Entire Property</t>
  </si>
  <si>
    <t xml:space="preserve">Ground Rent </t>
  </si>
  <si>
    <t>First Floor</t>
  </si>
  <si>
    <t>Rent Received</t>
  </si>
  <si>
    <t>Let-Out</t>
  </si>
  <si>
    <t>Fire &amp; General Insurance Premium</t>
  </si>
  <si>
    <r>
      <t>Choice with the Assessee: With Indexation 20% or</t>
    </r>
    <r>
      <rPr>
        <sz val="10"/>
        <color rgb="FF0000FF"/>
        <rFont val="Arial"/>
        <family val="2"/>
      </rPr>
      <t xml:space="preserve"> 10% without indexation </t>
    </r>
  </si>
  <si>
    <r>
      <t xml:space="preserve">CAPITAL GAINS </t>
    </r>
    <r>
      <rPr>
        <sz val="10"/>
        <color theme="1"/>
        <rFont val="Arial"/>
        <family val="2"/>
      </rPr>
      <t>U/S 45 - 55</t>
    </r>
  </si>
  <si>
    <t>Sale of Listed Pref Shares  on 14-05-20</t>
  </si>
  <si>
    <t>SHORT TERM CAPITAL GAIN</t>
  </si>
  <si>
    <t>Brokerage paid</t>
  </si>
  <si>
    <t>LTCG-3</t>
  </si>
  <si>
    <t>LONG TERM CAPITAL GAIN</t>
  </si>
  <si>
    <t>Acq Cost  (24-12-2002)</t>
  </si>
  <si>
    <t>Pref Shares</t>
  </si>
  <si>
    <t>Sale Proceeds  14/05/20</t>
  </si>
  <si>
    <t>Investment in NHAI Bonds on 01-06-20</t>
  </si>
  <si>
    <t xml:space="preserve">Less Brokerage </t>
  </si>
  <si>
    <t xml:space="preserve">Tax @ 10% </t>
  </si>
  <si>
    <t xml:space="preserve">Less Acq Cost  (Without Indexation) </t>
  </si>
  <si>
    <t>Listed - Indexation Allowed (17600 * 301 / 105)</t>
  </si>
  <si>
    <r>
      <t xml:space="preserve">Investment in NHAI Bonds on 01/06/20 Rs. 700000  </t>
    </r>
    <r>
      <rPr>
        <sz val="10"/>
        <color rgb="FF0000FF"/>
        <rFont val="Arial"/>
        <family val="2"/>
      </rPr>
      <t>N.A</t>
    </r>
  </si>
  <si>
    <t>LTCG = (3600000 - 80000 - 50453)</t>
  </si>
  <si>
    <r>
      <t xml:space="preserve">OTHER SOURCES </t>
    </r>
    <r>
      <rPr>
        <sz val="10"/>
        <color theme="1"/>
        <rFont val="Arial"/>
        <family val="2"/>
      </rPr>
      <t>U/S 56-59</t>
    </r>
  </si>
  <si>
    <t xml:space="preserve">Tax @ 20% </t>
  </si>
  <si>
    <t xml:space="preserve">Saving Bank Interest </t>
  </si>
  <si>
    <t>Intt on Loan to Relative</t>
  </si>
  <si>
    <t>Gift from Relative</t>
  </si>
  <si>
    <t>No Tax</t>
  </si>
  <si>
    <t xml:space="preserve">Gifts Rece in India - Father in Law (Non Resident) </t>
  </si>
  <si>
    <t>GROSS TOTAL INCOME</t>
  </si>
  <si>
    <t xml:space="preserve">LESS: DEDUCTIONS UNDER CHAPTER VI-A </t>
  </si>
  <si>
    <t xml:space="preserve">Sec 80C </t>
  </si>
  <si>
    <t>Public Prov Fund</t>
  </si>
  <si>
    <r>
      <t xml:space="preserve">Sec  80CCD(1)         </t>
    </r>
    <r>
      <rPr>
        <sz val="9"/>
        <color theme="1"/>
        <rFont val="Arial"/>
        <family val="2"/>
      </rPr>
      <t>NPS</t>
    </r>
  </si>
  <si>
    <t xml:space="preserve">New Pension Scheme </t>
  </si>
  <si>
    <r>
      <t xml:space="preserve">Sec  80CCD(1B) </t>
    </r>
    <r>
      <rPr>
        <sz val="9"/>
        <color theme="1"/>
        <rFont val="Arial"/>
        <family val="2"/>
      </rPr>
      <t>New Pension Scheme  Max 50000</t>
    </r>
  </si>
  <si>
    <t>Mediclaim Insurance Prem-Self, Spouse</t>
  </si>
  <si>
    <t>Sec  80D</t>
  </si>
  <si>
    <t>(29000 + 5000)</t>
  </si>
  <si>
    <t>Preventive Health Check up-Assessee</t>
  </si>
  <si>
    <t>Sec  80E</t>
  </si>
  <si>
    <t>Allowed in case of Legal Guradian</t>
  </si>
  <si>
    <t xml:space="preserve">Interest paid on Edu Loan (Grandson) </t>
  </si>
  <si>
    <t>Sec 80TTB</t>
  </si>
  <si>
    <t>SB Interest</t>
  </si>
  <si>
    <t xml:space="preserve">TOTAL  INCOME </t>
  </si>
  <si>
    <t>Rounding Off u/s 288A</t>
  </si>
  <si>
    <t xml:space="preserve">Income tax </t>
  </si>
  <si>
    <t xml:space="preserve">TAX ON TOTAL INCOME </t>
  </si>
  <si>
    <t xml:space="preserve">INCOME  </t>
  </si>
  <si>
    <t>RATE</t>
  </si>
  <si>
    <t>TAX</t>
  </si>
  <si>
    <t>300,000  to  500,000</t>
  </si>
  <si>
    <t>NORMAL INCOME</t>
  </si>
  <si>
    <t>500,000 to 1000,000</t>
  </si>
  <si>
    <t xml:space="preserve">LTCG </t>
  </si>
  <si>
    <t>SPECIAL INCOME</t>
  </si>
  <si>
    <t xml:space="preserve">      Above   1000,000</t>
  </si>
  <si>
    <t>Sec 87A</t>
  </si>
  <si>
    <r>
      <t xml:space="preserve">LESS : REBATE  </t>
    </r>
    <r>
      <rPr>
        <sz val="8"/>
        <color theme="1"/>
        <rFont val="Arial Narrow"/>
        <family val="2"/>
      </rPr>
      <t>(Rs. 12500, if Total Income upto Rs. 5 Lakhs)</t>
    </r>
  </si>
  <si>
    <r>
      <t xml:space="preserve">ADD : SURCHARGE  </t>
    </r>
    <r>
      <rPr>
        <sz val="8"/>
        <color theme="1"/>
        <rFont val="Arial"/>
        <family val="2"/>
      </rPr>
      <t>(10 % / 15% / 25% / 37%)</t>
    </r>
  </si>
  <si>
    <t xml:space="preserve">ADD : HEALTH &amp; EDUCATION CESS (4 % on Income Tax + Surcharge) </t>
  </si>
  <si>
    <t>Details of Assets &amp; Liabilities</t>
  </si>
  <si>
    <t xml:space="preserve">Acq Cost </t>
  </si>
  <si>
    <r>
      <t>TOTAL TAX PAYABLE</t>
    </r>
    <r>
      <rPr>
        <sz val="10"/>
        <color theme="1"/>
        <rFont val="Arial"/>
        <family val="2"/>
      </rPr>
      <t xml:space="preserve"> (including Surcharge &amp; Cesses) </t>
    </r>
  </si>
  <si>
    <t>22 yrs</t>
  </si>
  <si>
    <t>Resi House Property  (1976)</t>
  </si>
  <si>
    <t>Rent  10L</t>
  </si>
  <si>
    <t xml:space="preserve">ADD : INTEREST U/S 234A, 234B &amp; 234C </t>
  </si>
  <si>
    <t>Interest till the Month of making Video i.e Oct-2021</t>
  </si>
  <si>
    <t>20 yrs</t>
  </si>
  <si>
    <t>Jewellery (1974-75) Purchased by Parents</t>
  </si>
  <si>
    <t xml:space="preserve">ADD : Late Fees U/S 234F </t>
  </si>
  <si>
    <t>Rs. 5000 (Jan-Mar 2022)</t>
  </si>
  <si>
    <t>Cash in Hand</t>
  </si>
  <si>
    <t>TOTAL TAX AND INTEREST PAYABLE</t>
  </si>
  <si>
    <t xml:space="preserve">Wealth Tax return was never submitted </t>
  </si>
  <si>
    <t xml:space="preserve">TAX PAID U/S 199 : </t>
  </si>
  <si>
    <t xml:space="preserve">Advance Tax Paid  U/S 210 </t>
  </si>
  <si>
    <t>TDS to be deducted  by the Ex-Employer</t>
  </si>
  <si>
    <t xml:space="preserve">T. D. S.  U/S 192 </t>
  </si>
  <si>
    <t>Ex-Employer</t>
  </si>
  <si>
    <t xml:space="preserve">Salary after Std Deduction </t>
  </si>
  <si>
    <t>Self-Assessment Tax Paid</t>
  </si>
  <si>
    <t>Less Deds 80C, 80CCD(1), 80CCD(1B), 80D</t>
  </si>
  <si>
    <t>Rounding Off u/s 288B</t>
  </si>
  <si>
    <t xml:space="preserve">Tax Cals by Dr SB Rathore, Former Associate Professor of Commerce;  42 yrs Teaching Experience (Oct-77 to Dec-19) in Shyam Lal College (University of Delhi) </t>
  </si>
  <si>
    <t xml:space="preserve">Income Tax </t>
  </si>
  <si>
    <t>Website: www.taxclasses.in</t>
  </si>
  <si>
    <t xml:space="preserve">FaceBook: DrSB Rathore </t>
  </si>
  <si>
    <t xml:space="preserve">YouTube: Dr Rathore's tax Video Lectures (No Advertisements) </t>
  </si>
  <si>
    <t xml:space="preserve">Surcharge </t>
  </si>
  <si>
    <t xml:space="preserve">HEC </t>
  </si>
  <si>
    <t>Transport Allowance</t>
  </si>
  <si>
    <t xml:space="preserve">Resi  to Office </t>
  </si>
  <si>
    <t xml:space="preserve">Sec 10(14) (ii) </t>
  </si>
  <si>
    <t>No Exemption @ 1600 pm</t>
  </si>
  <si>
    <t xml:space="preserve">Taxable </t>
  </si>
  <si>
    <t>Conveyance Allowance</t>
  </si>
  <si>
    <t xml:space="preserve">Local </t>
  </si>
  <si>
    <t xml:space="preserve">Sec 10(14) (i) </t>
  </si>
  <si>
    <t>Received</t>
  </si>
  <si>
    <t>Less Spent</t>
  </si>
  <si>
    <t xml:space="preserve">Diff Taxable </t>
  </si>
  <si>
    <t>TDS</t>
  </si>
  <si>
    <t>Travelling Allowance</t>
  </si>
  <si>
    <t xml:space="preserve">Out of Station </t>
  </si>
  <si>
    <t>New Tax Rates Regime</t>
  </si>
  <si>
    <t>Salaries</t>
  </si>
  <si>
    <t>House Property</t>
  </si>
  <si>
    <t>Capital Gain</t>
  </si>
  <si>
    <t>Other Sources</t>
  </si>
  <si>
    <t xml:space="preserve">Normal </t>
  </si>
  <si>
    <t xml:space="preserve">Total </t>
  </si>
  <si>
    <t>Total income</t>
  </si>
  <si>
    <t xml:space="preserve">Surcharge 10% </t>
  </si>
  <si>
    <t>HEC @ 4%</t>
  </si>
  <si>
    <t>Total Liability</t>
  </si>
  <si>
    <t xml:space="preserve">   Upto             2,50,000</t>
  </si>
  <si>
    <t>2,50,001   to    5,00,000</t>
  </si>
  <si>
    <t>5,00,001   to    7,50,000</t>
  </si>
  <si>
    <t>7,50,001   to  10,00,000</t>
  </si>
  <si>
    <t>10,00,001 to  12,50,000</t>
  </si>
  <si>
    <t>12,50,001  to  15,00,000</t>
  </si>
  <si>
    <t xml:space="preserve">   Above         15,00,000</t>
  </si>
  <si>
    <t>Part -B</t>
  </si>
  <si>
    <t>80C - 80GGC</t>
  </si>
  <si>
    <t xml:space="preserve">No Change </t>
  </si>
  <si>
    <t>Part -C</t>
  </si>
  <si>
    <t>80H - 80RRB</t>
  </si>
  <si>
    <t>Rebate u/s 87A (if TI upto  5 Lakhs)</t>
  </si>
  <si>
    <t>Part- CA</t>
  </si>
  <si>
    <t>80TTA, 80TTB</t>
  </si>
  <si>
    <t>15%  Surcharge   (TI 100 Lakhs - 200 Lakhs)</t>
  </si>
  <si>
    <t>Part-D</t>
  </si>
  <si>
    <t>80U</t>
  </si>
  <si>
    <t>Health &amp; Education Cess @ 4%</t>
  </si>
  <si>
    <t xml:space="preserve">Sr Citizen: Only 234A will be levied </t>
  </si>
  <si>
    <t>Section 234A:  If Amount Exceeds Rs. 100000</t>
  </si>
  <si>
    <t>Total Tax, Surcharge &amp; Cess</t>
  </si>
  <si>
    <t>Interest</t>
  </si>
  <si>
    <t>Less TDS by the Employer, Bank</t>
  </si>
  <si>
    <t>Less Advance tax paid by 31-03-2021</t>
  </si>
  <si>
    <t xml:space="preserve">Month </t>
  </si>
  <si>
    <t>Interest u/s 234A</t>
  </si>
  <si>
    <t>Less Self tax paid on 28-05-21</t>
  </si>
  <si>
    <t>Oct</t>
  </si>
  <si>
    <t xml:space="preserve">Nov </t>
  </si>
  <si>
    <t xml:space="preserve">Dec </t>
  </si>
  <si>
    <t xml:space="preserve">Calculation  of Interest under Sections 234A, 234B &amp; 234C </t>
  </si>
  <si>
    <t>Total Interest</t>
  </si>
  <si>
    <t>Section 234C: In case of Non-Sr Citizen: If  Amount Exceeds Rs. 10000</t>
  </si>
  <si>
    <t xml:space="preserve">Liability for Advance tax </t>
  </si>
  <si>
    <t>Deposit Date</t>
  </si>
  <si>
    <t xml:space="preserve">Tax Amount </t>
  </si>
  <si>
    <t>Last Date</t>
  </si>
  <si>
    <t xml:space="preserve">Amount </t>
  </si>
  <si>
    <t>Round Down by 100</t>
  </si>
  <si>
    <t xml:space="preserve">Shortfall </t>
  </si>
  <si>
    <t>Interest u/s 234C</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</si>
  <si>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</si>
  <si>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</si>
  <si>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</si>
  <si>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</si>
  <si>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</si>
  <si>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</si>
  <si>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</si>
  <si>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</si>
  <si>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</si>
  <si>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Add Interest u/s 234C till 31-03-2021</t>
  </si>
  <si>
    <t xml:space="preserve">Add Interest u/s 234B - April / May </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</si>
  <si>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</si>
  <si>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</si>
  <si>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</si>
  <si>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</si>
  <si>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</si>
  <si>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</si>
  <si>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</si>
  <si>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</si>
  <si>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</si>
  <si>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</si>
  <si>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</si>
  <si>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</si>
  <si>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</si>
  <si>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</si>
  <si>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</si>
  <si>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</si>
  <si>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</si>
  <si>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</si>
  <si>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</si>
  <si>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</si>
  <si>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</si>
  <si>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</si>
  <si>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</si>
  <si>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</si>
  <si>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</si>
  <si>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</si>
  <si>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</si>
  <si>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</si>
  <si>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</si>
  <si>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</si>
  <si>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</si>
  <si>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</si>
  <si>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</si>
  <si>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</si>
  <si>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</si>
  <si>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</si>
  <si>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</si>
  <si>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</si>
  <si>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</si>
  <si>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</si>
  <si>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</si>
  <si>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</si>
  <si>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</si>
  <si>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</si>
  <si>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</si>
  <si>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</si>
  <si>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Basic Salary </t>
  </si>
  <si>
    <t xml:space="preserve">Sec 10(5) Leave Travel </t>
  </si>
  <si>
    <t xml:space="preserve">Std Ded  u/s 16 (ia) </t>
  </si>
  <si>
    <t>Dearness Allowance</t>
  </si>
  <si>
    <t>Sec 10(13A) HRA</t>
  </si>
  <si>
    <t>Employment Tax</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</si>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</sst>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409]d\-mmm\-yy;@"/>
  </numFmts>
  <fonts count="78" x14ac:knownFonts="1">
    <font>
      <sz val="11"/>
      <color theme="1"/>
      <name val="Calibri"/>
      <family val="2"/>
      <scheme val="minor"/>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10"/>
      <color theme="1"/>
      <name val="Arial"/>
      <family val="2"/>
    </font>
    <font>
      <b/>
      <u/>
      <sz val="10"/>
      <color theme="1"/>
      <name val="Arial"/>
      <family val="2"/>
    </font>
    <font>
      <b/>
      <sz val="10"/>
      <color theme="9" tint="-0.249977111117893"/>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sz val="9"/>
      <color rgb="FF7030A0"/>
      <name val="Arial"/>
      <family val="2"/>
    </font>
    <font>
      <sz val="10"/>
      <color theme="9" tint="-0.499984740745262"/>
      <name val="Arial"/>
      <family val="2"/>
    </font>
    <font>
      <b/>
      <sz val="9"/>
      <color rgb="FFC00000"/>
      <name val="Arial"/>
      <family val="2"/>
    </font>
    <font>
      <sz val="9"/>
      <name val="Arial"/>
      <family val="2"/>
    </font>
    <font>
      <sz val="10"/>
      <color theme="7" tint="-0.249977111117893"/>
      <name val="Arial"/>
      <family val="2"/>
    </font>
    <font>
      <i/>
      <sz val="10"/>
      <color theme="7" tint="-0.249977111117893"/>
      <name val="Arial"/>
      <family val="2"/>
    </font>
    <font>
      <i/>
      <sz val="9"/>
      <color rgb="FFC00000"/>
      <name val="Arial"/>
      <family val="2"/>
    </font>
    <font>
      <u/>
      <sz val="9"/>
      <color theme="1"/>
      <name val="Arial"/>
      <family val="2"/>
    </font>
    <font>
      <sz val="9"/>
      <color theme="9" tint="-0.249977111117893"/>
      <name val="Arial"/>
      <family val="2"/>
    </font>
    <font>
      <sz val="10"/>
      <color theme="9" tint="-0.249977111117893"/>
      <name val="Arial"/>
      <family val="2"/>
    </font>
    <font>
      <sz val="8"/>
      <color rgb="FFC00000"/>
      <name val="Arial"/>
      <family val="2"/>
    </font>
    <font>
      <sz val="10"/>
      <color rgb="FFC00000"/>
      <name val="Arial"/>
      <family val="2"/>
    </font>
    <font>
      <sz val="8"/>
      <color theme="1"/>
      <name val="Arial Narrow"/>
      <family val="2"/>
    </font>
    <font>
      <sz val="8"/>
      <color rgb="FF0000FF"/>
      <name val="Arial"/>
      <family val="2"/>
    </font>
    <font>
      <b/>
      <sz val="10"/>
      <color rgb="FF0000FF"/>
      <name val="Arial"/>
      <family val="2"/>
    </font>
    <font>
      <u/>
      <sz val="10"/>
      <color theme="1"/>
      <name val="Arial"/>
      <family val="2"/>
    </font>
    <font>
      <i/>
      <u/>
      <sz val="10"/>
      <color theme="1"/>
      <name val="Arial"/>
      <family val="2"/>
    </font>
    <font>
      <sz val="10"/>
      <color theme="3" tint="-0.249977111117893"/>
      <name val="Arial"/>
      <family val="2"/>
    </font>
    <font>
      <sz val="9"/>
      <color rgb="FFFF0000"/>
      <name val="Arial"/>
      <family val="2"/>
    </font>
    <font>
      <b/>
      <sz val="9"/>
      <color rgb="FF0000FF"/>
      <name val="Arial"/>
      <family val="2"/>
    </font>
    <font>
      <sz val="11"/>
      <color rgb="FF515656"/>
      <name val="Arial"/>
      <family val="2"/>
    </font>
    <font>
      <i/>
      <sz val="8"/>
      <color theme="1"/>
      <name val="Arial"/>
      <family val="2"/>
    </font>
    <font>
      <b/>
      <sz val="10"/>
      <color rgb="FFC00000"/>
      <name val="Arial Narrow"/>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8"/>
      <name val="Arial Narrow"/>
      <family val="2"/>
    </font>
    <font>
      <sz val="8"/>
      <color theme="5" tint="-0.249977111117893"/>
      <name val="Arial Narrow"/>
      <family val="2"/>
    </font>
    <font>
      <sz val="8"/>
      <color rgb="FF7030A0"/>
      <name val="Arial Narrow"/>
      <family val="2"/>
    </font>
    <font>
      <sz val="9"/>
      <color theme="8" tint="-0.249977111117893"/>
      <name val="Arial"/>
      <family val="2"/>
    </font>
    <font>
      <b/>
      <sz val="10"/>
      <color theme="4" tint="-0.249977111117893"/>
      <name val="Arial"/>
      <family val="2"/>
    </font>
    <font>
      <b/>
      <sz val="10"/>
      <color rgb="FF00B050"/>
      <name val="Arial"/>
      <family val="2"/>
    </font>
    <font>
      <b/>
      <sz val="9"/>
      <color rgb="FF00B050"/>
      <name val="Arial"/>
      <family val="2"/>
    </font>
    <font>
      <b/>
      <sz val="10"/>
      <color rgb="FFC00000"/>
      <name val="Arial"/>
      <family val="2"/>
    </font>
    <font>
      <b/>
      <sz val="9"/>
      <color theme="9" tint="-0.249977111117893"/>
      <name val="Arial"/>
      <family val="2"/>
    </font>
    <font>
      <b/>
      <sz val="10"/>
      <name val="Arial"/>
      <family val="2"/>
    </font>
    <font>
      <sz val="10"/>
      <color rgb="FF00B050"/>
      <name val="Arial"/>
      <family val="2"/>
    </font>
    <font>
      <b/>
      <sz val="10"/>
      <color indexed="12"/>
      <name val="Arial"/>
      <family val="2"/>
    </font>
    <font>
      <sz val="10"/>
      <color indexed="12"/>
      <name val="Arial"/>
      <family val="2"/>
    </font>
    <font>
      <sz val="10"/>
      <color rgb="FFFF0000"/>
      <name val="Arial"/>
      <family val="2"/>
    </font>
    <font>
      <i/>
      <sz val="1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C00000"/>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02">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2" applyFont="1" applyBorder="1" applyAlignment="1">
      <alignment horizontal="center"/>
    </xf>
    <xf numFmtId="0" fontId="4" fillId="0" borderId="0" xfId="2" applyFont="1" applyAlignment="1">
      <alignment horizontal="center"/>
    </xf>
    <xf numFmtId="0" fontId="4" fillId="0" borderId="5" xfId="2" applyFont="1" applyBorder="1" applyAlignment="1">
      <alignment horizontal="center"/>
    </xf>
    <xf numFmtId="0" fontId="5" fillId="0" borderId="6" xfId="2" applyFont="1" applyBorder="1" applyAlignment="1">
      <alignment horizontal="center"/>
    </xf>
    <xf numFmtId="0" fontId="3" fillId="0" borderId="0" xfId="2" applyFont="1"/>
    <xf numFmtId="0" fontId="6" fillId="0" borderId="7" xfId="2" applyFont="1" applyBorder="1" applyAlignment="1">
      <alignment horizontal="center" shrinkToFit="1"/>
    </xf>
    <xf numFmtId="0" fontId="6" fillId="0" borderId="8" xfId="2" applyFont="1" applyBorder="1" applyAlignment="1">
      <alignment horizontal="center" shrinkToFit="1"/>
    </xf>
    <xf numFmtId="0" fontId="7" fillId="0" borderId="8" xfId="2" applyFont="1" applyBorder="1" applyAlignment="1">
      <alignment horizontal="center"/>
    </xf>
    <xf numFmtId="0" fontId="8" fillId="0" borderId="8" xfId="2" applyFont="1" applyBorder="1" applyAlignment="1">
      <alignment horizontal="center"/>
    </xf>
    <xf numFmtId="0" fontId="9" fillId="0" borderId="8" xfId="2" applyFont="1" applyBorder="1" applyAlignment="1">
      <alignment horizontal="center"/>
    </xf>
    <xf numFmtId="15" fontId="10" fillId="0" borderId="8" xfId="2" applyNumberFormat="1" applyFont="1" applyBorder="1" applyAlignment="1">
      <alignment horizontal="center"/>
    </xf>
    <xf numFmtId="1" fontId="11" fillId="2" borderId="9" xfId="2" applyNumberFormat="1" applyFont="1" applyFill="1" applyBorder="1" applyAlignment="1">
      <alignment horizontal="center" shrinkToFit="1"/>
    </xf>
    <xf numFmtId="0" fontId="12" fillId="0" borderId="0" xfId="2" applyFont="1" applyAlignment="1">
      <alignment horizontal="center"/>
    </xf>
    <xf numFmtId="0" fontId="12" fillId="0" borderId="0" xfId="2" applyFont="1"/>
    <xf numFmtId="15" fontId="5" fillId="3" borderId="10" xfId="2" applyNumberFormat="1" applyFont="1" applyFill="1" applyBorder="1" applyAlignment="1">
      <alignment horizontal="center"/>
    </xf>
    <xf numFmtId="1" fontId="8" fillId="0" borderId="4" xfId="2" applyNumberFormat="1" applyFont="1" applyBorder="1" applyAlignment="1">
      <alignment shrinkToFit="1"/>
    </xf>
    <xf numFmtId="0" fontId="13" fillId="0" borderId="0" xfId="2" applyFont="1"/>
    <xf numFmtId="0" fontId="14" fillId="0" borderId="0" xfId="2" applyFont="1"/>
    <xf numFmtId="0" fontId="12" fillId="0" borderId="11" xfId="2" applyFont="1" applyBorder="1"/>
    <xf numFmtId="0" fontId="15" fillId="0" borderId="0" xfId="2" applyFont="1" applyAlignment="1">
      <alignment horizontal="center"/>
    </xf>
    <xf numFmtId="0" fontId="15" fillId="0" borderId="5" xfId="2" applyFont="1" applyBorder="1" applyAlignment="1">
      <alignment horizontal="center"/>
    </xf>
    <xf numFmtId="1" fontId="12" fillId="0" borderId="0" xfId="2" applyNumberFormat="1" applyFont="1"/>
    <xf numFmtId="0" fontId="10" fillId="0" borderId="10" xfId="2" applyFont="1" applyBorder="1" applyAlignment="1">
      <alignment horizontal="center"/>
    </xf>
    <xf numFmtId="0" fontId="8" fillId="0" borderId="4" xfId="2" applyFont="1" applyBorder="1" applyAlignment="1">
      <alignment shrinkToFit="1"/>
    </xf>
    <xf numFmtId="0" fontId="8" fillId="0" borderId="0" xfId="2" applyFont="1"/>
    <xf numFmtId="0" fontId="16" fillId="0" borderId="0" xfId="2" applyFont="1" applyAlignment="1">
      <alignment horizontal="left"/>
    </xf>
    <xf numFmtId="1" fontId="12" fillId="4" borderId="11" xfId="2" applyNumberFormat="1" applyFont="1" applyFill="1" applyBorder="1"/>
    <xf numFmtId="1" fontId="17" fillId="0" borderId="0" xfId="2" applyNumberFormat="1" applyFont="1"/>
    <xf numFmtId="1" fontId="17" fillId="0" borderId="5" xfId="2" applyNumberFormat="1" applyFont="1" applyBorder="1"/>
    <xf numFmtId="15" fontId="10" fillId="0" borderId="10" xfId="2" applyNumberFormat="1" applyFont="1" applyBorder="1" applyAlignment="1">
      <alignment horizontal="center"/>
    </xf>
    <xf numFmtId="0" fontId="8" fillId="0" borderId="10" xfId="2" applyFont="1" applyBorder="1"/>
    <xf numFmtId="1" fontId="12" fillId="4" borderId="12" xfId="2" applyNumberFormat="1" applyFont="1" applyFill="1" applyBorder="1"/>
    <xf numFmtId="0" fontId="12" fillId="0" borderId="0" xfId="2" applyFont="1" applyAlignment="1">
      <alignment horizontal="right"/>
    </xf>
    <xf numFmtId="15" fontId="16" fillId="0" borderId="13" xfId="2" applyNumberFormat="1" applyFont="1" applyBorder="1" applyAlignment="1">
      <alignment horizontal="center"/>
    </xf>
    <xf numFmtId="0" fontId="18" fillId="0" borderId="0" xfId="2" applyFont="1" applyAlignment="1">
      <alignment horizontal="right"/>
    </xf>
    <xf numFmtId="1" fontId="12" fillId="0" borderId="14" xfId="2" applyNumberFormat="1" applyFont="1" applyBorder="1"/>
    <xf numFmtId="0" fontId="19" fillId="3" borderId="6" xfId="2" applyFont="1" applyFill="1" applyBorder="1" applyAlignment="1">
      <alignment horizontal="center"/>
    </xf>
    <xf numFmtId="0" fontId="20" fillId="0" borderId="0" xfId="2" applyFont="1"/>
    <xf numFmtId="17" fontId="21" fillId="0" borderId="10" xfId="2" applyNumberFormat="1" applyFont="1" applyBorder="1" applyAlignment="1">
      <alignment horizontal="center"/>
    </xf>
    <xf numFmtId="1" fontId="12" fillId="0" borderId="11" xfId="2" applyNumberFormat="1" applyFont="1" applyBorder="1"/>
    <xf numFmtId="0" fontId="21" fillId="0" borderId="13" xfId="2" applyFont="1" applyBorder="1" applyAlignment="1">
      <alignment horizontal="center"/>
    </xf>
    <xf numFmtId="0" fontId="16" fillId="0" borderId="0" xfId="2" applyFont="1"/>
    <xf numFmtId="0" fontId="7" fillId="0" borderId="0" xfId="2" applyFont="1"/>
    <xf numFmtId="0" fontId="22" fillId="0" borderId="0" xfId="2" applyFont="1"/>
    <xf numFmtId="0" fontId="23" fillId="0" borderId="0" xfId="2" applyFont="1" applyAlignment="1">
      <alignment horizontal="center"/>
    </xf>
    <xf numFmtId="0" fontId="24" fillId="0" borderId="0" xfId="2" applyFont="1" applyAlignment="1">
      <alignment horizontal="left"/>
    </xf>
    <xf numFmtId="0" fontId="9" fillId="0" borderId="0" xfId="2" applyFont="1" applyAlignment="1">
      <alignment horizontal="center"/>
    </xf>
    <xf numFmtId="0" fontId="12" fillId="5" borderId="0" xfId="2" applyFont="1" applyFill="1" applyAlignment="1">
      <alignment horizontal="right"/>
    </xf>
    <xf numFmtId="1" fontId="17" fillId="0" borderId="15" xfId="2" applyNumberFormat="1" applyFont="1" applyBorder="1"/>
    <xf numFmtId="0" fontId="24" fillId="0" borderId="0" xfId="2" applyFont="1"/>
    <xf numFmtId="0" fontId="16" fillId="0" borderId="0" xfId="2" applyFont="1" applyAlignment="1">
      <alignment horizontal="center"/>
    </xf>
    <xf numFmtId="0" fontId="12" fillId="5" borderId="12" xfId="2" applyFont="1" applyFill="1" applyBorder="1" applyAlignment="1">
      <alignment horizontal="right"/>
    </xf>
    <xf numFmtId="1" fontId="12" fillId="0" borderId="0" xfId="2" applyNumberFormat="1" applyFont="1" applyAlignment="1">
      <alignment horizontal="right"/>
    </xf>
    <xf numFmtId="0" fontId="8" fillId="0" borderId="0" xfId="2" applyFont="1" applyAlignment="1">
      <alignment horizontal="center"/>
    </xf>
    <xf numFmtId="0" fontId="12" fillId="0" borderId="16" xfId="2" applyFont="1" applyBorder="1" applyAlignment="1">
      <alignment horizontal="right"/>
    </xf>
    <xf numFmtId="0" fontId="12" fillId="0" borderId="12" xfId="2" applyFont="1" applyBorder="1"/>
    <xf numFmtId="0" fontId="25" fillId="0" borderId="0" xfId="2" applyFont="1" applyAlignment="1">
      <alignment horizontal="right"/>
    </xf>
    <xf numFmtId="0" fontId="26" fillId="0" borderId="0" xfId="2" applyFont="1"/>
    <xf numFmtId="0" fontId="25" fillId="0" borderId="0" xfId="2" applyFont="1"/>
    <xf numFmtId="0" fontId="12" fillId="5" borderId="16" xfId="2" applyFont="1" applyFill="1" applyBorder="1"/>
    <xf numFmtId="0" fontId="27" fillId="0" borderId="0" xfId="2" applyFont="1" applyAlignment="1">
      <alignment horizontal="center"/>
    </xf>
    <xf numFmtId="0" fontId="12" fillId="6" borderId="0" xfId="2" applyFont="1" applyFill="1"/>
    <xf numFmtId="0" fontId="12" fillId="5" borderId="0" xfId="2" applyFont="1" applyFill="1"/>
    <xf numFmtId="0" fontId="7" fillId="0" borderId="5" xfId="2" applyFont="1" applyBorder="1" applyAlignment="1">
      <alignment horizontal="center"/>
    </xf>
    <xf numFmtId="0" fontId="24" fillId="3" borderId="0" xfId="2" applyFont="1" applyFill="1" applyAlignment="1">
      <alignment horizontal="center"/>
    </xf>
    <xf numFmtId="0" fontId="28" fillId="0" borderId="0" xfId="2" applyFont="1"/>
    <xf numFmtId="0" fontId="12" fillId="0" borderId="0" xfId="2" applyFont="1" applyAlignment="1">
      <alignment horizontal="left" indent="1"/>
    </xf>
    <xf numFmtId="9" fontId="8" fillId="0" borderId="0" xfId="2" applyNumberFormat="1" applyFont="1" applyAlignment="1">
      <alignment horizontal="center"/>
    </xf>
    <xf numFmtId="0" fontId="29" fillId="0" borderId="0" xfId="2" applyFont="1"/>
    <xf numFmtId="0" fontId="30" fillId="3" borderId="0" xfId="2" applyFont="1" applyFill="1"/>
    <xf numFmtId="0" fontId="31" fillId="0" borderId="0" xfId="2" applyFont="1" applyAlignment="1">
      <alignment horizontal="center"/>
    </xf>
    <xf numFmtId="0" fontId="12" fillId="0" borderId="0" xfId="2" applyFont="1" applyAlignment="1">
      <alignment horizontal="left" indent="1"/>
    </xf>
    <xf numFmtId="0" fontId="12" fillId="0" borderId="16" xfId="2" applyFont="1" applyBorder="1"/>
    <xf numFmtId="0" fontId="12" fillId="7" borderId="0" xfId="2" applyFont="1" applyFill="1"/>
    <xf numFmtId="1" fontId="5" fillId="0" borderId="0" xfId="2" applyNumberFormat="1" applyFont="1"/>
    <xf numFmtId="0" fontId="32" fillId="0" borderId="0" xfId="2" applyFont="1"/>
    <xf numFmtId="0" fontId="33" fillId="0" borderId="0" xfId="2" applyFont="1" applyAlignment="1">
      <alignment horizontal="center"/>
    </xf>
    <xf numFmtId="1" fontId="12" fillId="5" borderId="0" xfId="2" applyNumberFormat="1" applyFont="1" applyFill="1"/>
    <xf numFmtId="1" fontId="12" fillId="5" borderId="12" xfId="2" applyNumberFormat="1" applyFont="1" applyFill="1" applyBorder="1"/>
    <xf numFmtId="0" fontId="34" fillId="0" borderId="0" xfId="2" applyFont="1"/>
    <xf numFmtId="1" fontId="17" fillId="0" borderId="17" xfId="2" applyNumberFormat="1" applyFont="1" applyBorder="1"/>
    <xf numFmtId="1" fontId="35" fillId="0" borderId="18" xfId="2" applyNumberFormat="1" applyFont="1" applyBorder="1"/>
    <xf numFmtId="1" fontId="35" fillId="0" borderId="5" xfId="2" applyNumberFormat="1" applyFont="1" applyBorder="1"/>
    <xf numFmtId="0" fontId="36" fillId="0" borderId="0" xfId="2" applyFont="1"/>
    <xf numFmtId="0" fontId="37" fillId="0" borderId="0" xfId="2" applyFont="1"/>
    <xf numFmtId="0" fontId="38" fillId="0" borderId="0" xfId="2" applyFont="1"/>
    <xf numFmtId="0" fontId="39" fillId="0" borderId="0" xfId="2" applyFont="1" applyAlignment="1">
      <alignment horizontal="center"/>
    </xf>
    <xf numFmtId="0" fontId="17" fillId="0" borderId="0" xfId="2" applyFont="1"/>
    <xf numFmtId="0" fontId="5" fillId="0" borderId="0" xfId="2" applyFont="1"/>
    <xf numFmtId="0" fontId="10" fillId="0" borderId="0" xfId="2" applyFont="1"/>
    <xf numFmtId="0" fontId="40" fillId="0" borderId="0" xfId="2" applyFont="1" applyAlignment="1">
      <alignment horizontal="center"/>
    </xf>
    <xf numFmtId="0" fontId="12" fillId="5" borderId="12" xfId="2" applyFont="1" applyFill="1" applyBorder="1"/>
    <xf numFmtId="0" fontId="41" fillId="0" borderId="0" xfId="2" applyFont="1"/>
    <xf numFmtId="0" fontId="17" fillId="0" borderId="0" xfId="2" applyFont="1" applyAlignment="1">
      <alignment vertical="center"/>
    </xf>
    <xf numFmtId="1" fontId="33" fillId="0" borderId="0" xfId="2" applyNumberFormat="1" applyFont="1" applyAlignment="1">
      <alignment horizontal="left"/>
    </xf>
    <xf numFmtId="0" fontId="33" fillId="0" borderId="0" xfId="2" applyFont="1" applyAlignment="1">
      <alignment horizontal="left"/>
    </xf>
    <xf numFmtId="0" fontId="8" fillId="0" borderId="0" xfId="2" applyFont="1" applyAlignment="1">
      <alignment horizontal="right"/>
    </xf>
    <xf numFmtId="1" fontId="17" fillId="3" borderId="19" xfId="2" applyNumberFormat="1" applyFont="1" applyFill="1" applyBorder="1"/>
    <xf numFmtId="1" fontId="17" fillId="3" borderId="20" xfId="2" applyNumberFormat="1" applyFont="1" applyFill="1" applyBorder="1"/>
    <xf numFmtId="0" fontId="7" fillId="0" borderId="0" xfId="2" applyFont="1" applyAlignment="1">
      <alignment horizontal="right"/>
    </xf>
    <xf numFmtId="0" fontId="7" fillId="0" borderId="0" xfId="2" applyFont="1" applyAlignment="1">
      <alignment horizontal="center"/>
    </xf>
    <xf numFmtId="0" fontId="16" fillId="0" borderId="15" xfId="2" applyFont="1" applyBorder="1"/>
    <xf numFmtId="0" fontId="16" fillId="0" borderId="5" xfId="2" applyFont="1" applyBorder="1"/>
    <xf numFmtId="9" fontId="12" fillId="0" borderId="0" xfId="2" applyNumberFormat="1" applyFont="1" applyAlignment="1">
      <alignment horizontal="center"/>
    </xf>
    <xf numFmtId="0" fontId="8" fillId="0" borderId="0" xfId="2" applyFont="1" applyAlignment="1">
      <alignment shrinkToFit="1"/>
    </xf>
    <xf numFmtId="0" fontId="42" fillId="0" borderId="0" xfId="2" applyFont="1" applyAlignment="1">
      <alignment horizontal="right"/>
    </xf>
    <xf numFmtId="9" fontId="16" fillId="0" borderId="0" xfId="2" applyNumberFormat="1" applyFont="1" applyAlignment="1">
      <alignment horizontal="center"/>
    </xf>
    <xf numFmtId="0" fontId="12" fillId="0" borderId="15" xfId="2" applyFont="1" applyBorder="1"/>
    <xf numFmtId="0" fontId="12" fillId="0" borderId="5" xfId="2" applyFont="1" applyBorder="1"/>
    <xf numFmtId="1" fontId="17" fillId="0" borderId="15" xfId="2" applyNumberFormat="1" applyFont="1" applyBorder="1" applyAlignment="1">
      <alignment horizontal="right"/>
    </xf>
    <xf numFmtId="1" fontId="17" fillId="0" borderId="5" xfId="2" applyNumberFormat="1" applyFont="1" applyBorder="1" applyAlignment="1">
      <alignment horizontal="right"/>
    </xf>
    <xf numFmtId="0" fontId="17" fillId="8" borderId="21" xfId="2" applyFont="1" applyFill="1" applyBorder="1"/>
    <xf numFmtId="0" fontId="12" fillId="0" borderId="12" xfId="2" applyFont="1" applyBorder="1" applyAlignment="1">
      <alignment horizontal="right"/>
    </xf>
    <xf numFmtId="1" fontId="12" fillId="0" borderId="15" xfId="2" applyNumberFormat="1" applyFont="1" applyBorder="1" applyAlignment="1">
      <alignment horizontal="right"/>
    </xf>
    <xf numFmtId="1" fontId="12" fillId="0" borderId="5" xfId="2" applyNumberFormat="1" applyFont="1" applyBorder="1" applyAlignment="1">
      <alignment horizontal="right"/>
    </xf>
    <xf numFmtId="9" fontId="9" fillId="0" borderId="0" xfId="2" applyNumberFormat="1" applyFont="1" applyAlignment="1">
      <alignment horizontal="center"/>
    </xf>
    <xf numFmtId="1" fontId="12" fillId="0" borderId="22" xfId="2" applyNumberFormat="1" applyFont="1" applyBorder="1" applyAlignment="1">
      <alignment horizontal="right"/>
    </xf>
    <xf numFmtId="1" fontId="12" fillId="0" borderId="17" xfId="2" applyNumberFormat="1" applyFont="1" applyBorder="1" applyAlignment="1">
      <alignment horizontal="right"/>
    </xf>
    <xf numFmtId="0" fontId="12" fillId="9" borderId="0" xfId="2" applyFont="1" applyFill="1" applyAlignment="1">
      <alignment horizontal="left"/>
    </xf>
    <xf numFmtId="0" fontId="12" fillId="9" borderId="0" xfId="2" applyFont="1" applyFill="1"/>
    <xf numFmtId="0" fontId="16" fillId="9" borderId="0" xfId="2" applyFont="1" applyFill="1" applyAlignment="1">
      <alignment horizontal="center"/>
    </xf>
    <xf numFmtId="1" fontId="16" fillId="9" borderId="0" xfId="2" applyNumberFormat="1" applyFont="1" applyFill="1" applyAlignment="1">
      <alignment horizontal="left" indent="1"/>
    </xf>
    <xf numFmtId="1" fontId="12" fillId="9" borderId="0" xfId="2" applyNumberFormat="1" applyFont="1" applyFill="1"/>
    <xf numFmtId="0" fontId="43" fillId="0" borderId="0" xfId="2" applyFont="1" applyAlignment="1">
      <alignment horizontal="left"/>
    </xf>
    <xf numFmtId="0" fontId="34" fillId="0" borderId="0" xfId="2" applyFont="1" applyAlignment="1">
      <alignment horizontal="right"/>
    </xf>
    <xf numFmtId="1" fontId="12" fillId="0" borderId="22" xfId="2" applyNumberFormat="1" applyFont="1" applyBorder="1"/>
    <xf numFmtId="1" fontId="12" fillId="0" borderId="17" xfId="2" applyNumberFormat="1" applyFont="1" applyBorder="1"/>
    <xf numFmtId="1" fontId="5" fillId="9" borderId="0" xfId="2" applyNumberFormat="1" applyFont="1" applyFill="1" applyAlignment="1">
      <alignment horizontal="center"/>
    </xf>
    <xf numFmtId="15" fontId="5" fillId="0" borderId="0" xfId="2" applyNumberFormat="1" applyFont="1" applyAlignment="1">
      <alignment horizontal="center"/>
    </xf>
    <xf numFmtId="0" fontId="44" fillId="0" borderId="0" xfId="2" applyFont="1" applyAlignment="1">
      <alignment horizontal="left" shrinkToFit="1"/>
    </xf>
    <xf numFmtId="0" fontId="44" fillId="0" borderId="0" xfId="2" applyFont="1" applyAlignment="1">
      <alignment horizontal="left" shrinkToFit="1"/>
    </xf>
    <xf numFmtId="0" fontId="35" fillId="7" borderId="0" xfId="2" applyFont="1" applyFill="1"/>
    <xf numFmtId="1" fontId="45" fillId="0" borderId="0" xfId="2" applyNumberFormat="1" applyFont="1" applyAlignment="1">
      <alignment horizontal="center"/>
    </xf>
    <xf numFmtId="0" fontId="46" fillId="0" borderId="0" xfId="2" applyFont="1" applyAlignment="1">
      <alignment horizontal="left" shrinkToFit="1"/>
    </xf>
    <xf numFmtId="1" fontId="12" fillId="7" borderId="0" xfId="2" applyNumberFormat="1" applyFont="1" applyFill="1"/>
    <xf numFmtId="0" fontId="16" fillId="7" borderId="0" xfId="2" applyFont="1" applyFill="1" applyAlignment="1">
      <alignment horizontal="left"/>
    </xf>
    <xf numFmtId="0" fontId="12" fillId="7" borderId="16" xfId="2" applyFont="1" applyFill="1" applyBorder="1"/>
    <xf numFmtId="1" fontId="8" fillId="0" borderId="23" xfId="2" applyNumberFormat="1" applyFont="1" applyBorder="1" applyAlignment="1">
      <alignment shrinkToFit="1"/>
    </xf>
    <xf numFmtId="0" fontId="17" fillId="0" borderId="24" xfId="2" applyFont="1" applyBorder="1"/>
    <xf numFmtId="0" fontId="12" fillId="0" borderId="24" xfId="2" applyFont="1" applyBorder="1"/>
    <xf numFmtId="0" fontId="47" fillId="0" borderId="24" xfId="2" applyFont="1" applyBorder="1"/>
    <xf numFmtId="0" fontId="33" fillId="0" borderId="24" xfId="2" applyFont="1" applyBorder="1" applyAlignment="1">
      <alignment horizontal="left"/>
    </xf>
    <xf numFmtId="0" fontId="12" fillId="0" borderId="24" xfId="2" applyFont="1" applyBorder="1" applyAlignment="1">
      <alignment horizontal="center"/>
    </xf>
    <xf numFmtId="1" fontId="17" fillId="3" borderId="25" xfId="2" applyNumberFormat="1" applyFont="1" applyFill="1" applyBorder="1"/>
    <xf numFmtId="1" fontId="17" fillId="3" borderId="26" xfId="2" applyNumberFormat="1" applyFont="1" applyFill="1" applyBorder="1"/>
    <xf numFmtId="1" fontId="17" fillId="7" borderId="0" xfId="2" applyNumberFormat="1" applyFont="1" applyFill="1"/>
    <xf numFmtId="0" fontId="48" fillId="0" borderId="1" xfId="2" applyFont="1" applyBorder="1" applyAlignment="1">
      <alignment horizontal="center"/>
    </xf>
    <xf numFmtId="0" fontId="48" fillId="0" borderId="2" xfId="2" applyFont="1" applyBorder="1" applyAlignment="1">
      <alignment horizontal="center"/>
    </xf>
    <xf numFmtId="0" fontId="48" fillId="0" borderId="3" xfId="2" applyFont="1" applyBorder="1" applyAlignment="1">
      <alignment horizontal="center"/>
    </xf>
    <xf numFmtId="0" fontId="16" fillId="7" borderId="0" xfId="2" applyFont="1" applyFill="1" applyAlignment="1">
      <alignment horizontal="left" indent="11"/>
    </xf>
    <xf numFmtId="14" fontId="49" fillId="0" borderId="7" xfId="2" applyNumberFormat="1" applyFont="1" applyBorder="1" applyAlignment="1">
      <alignment horizontal="center" shrinkToFit="1"/>
    </xf>
    <xf numFmtId="0" fontId="49" fillId="0" borderId="8" xfId="2" applyFont="1" applyBorder="1" applyAlignment="1">
      <alignment horizontal="center" shrinkToFit="1"/>
    </xf>
    <xf numFmtId="0" fontId="29" fillId="0" borderId="8" xfId="2" applyFont="1" applyBorder="1"/>
    <xf numFmtId="0" fontId="50" fillId="0" borderId="8" xfId="2" applyFont="1" applyBorder="1" applyAlignment="1">
      <alignment horizontal="center"/>
    </xf>
    <xf numFmtId="0" fontId="51" fillId="0" borderId="8" xfId="2" applyFont="1" applyBorder="1" applyAlignment="1">
      <alignment horizontal="center"/>
    </xf>
    <xf numFmtId="0" fontId="52" fillId="0" borderId="8" xfId="2" applyFont="1" applyBorder="1" applyAlignment="1">
      <alignment horizontal="center"/>
    </xf>
    <xf numFmtId="0" fontId="52" fillId="0" borderId="9" xfId="2" applyFont="1" applyBorder="1" applyAlignment="1">
      <alignment horizontal="center"/>
    </xf>
    <xf numFmtId="9" fontId="12" fillId="7" borderId="0" xfId="2" applyNumberFormat="1" applyFont="1" applyFill="1" applyAlignment="1">
      <alignment horizontal="center"/>
    </xf>
    <xf numFmtId="0" fontId="49" fillId="0" borderId="0" xfId="2" applyFont="1" applyAlignment="1">
      <alignment shrinkToFit="1"/>
    </xf>
    <xf numFmtId="0" fontId="49" fillId="0" borderId="0" xfId="2" applyFont="1"/>
    <xf numFmtId="0" fontId="49" fillId="0" borderId="0" xfId="2" applyFont="1" applyAlignment="1">
      <alignment horizontal="left" indent="1"/>
    </xf>
    <xf numFmtId="0" fontId="17" fillId="7" borderId="21" xfId="2" applyFont="1" applyFill="1" applyBorder="1"/>
    <xf numFmtId="0" fontId="34" fillId="0" borderId="0" xfId="2" applyFont="1" applyAlignment="1">
      <alignment shrinkToFit="1"/>
    </xf>
    <xf numFmtId="0" fontId="9" fillId="0" borderId="0" xfId="2" applyFont="1"/>
    <xf numFmtId="0" fontId="34" fillId="0" borderId="0" xfId="2" applyFont="1" applyAlignment="1">
      <alignment horizontal="left" indent="1"/>
    </xf>
    <xf numFmtId="0" fontId="10" fillId="0" borderId="0" xfId="2" applyFont="1" applyAlignment="1">
      <alignment horizontal="left" indent="1"/>
    </xf>
    <xf numFmtId="0" fontId="32" fillId="0" borderId="0" xfId="2" applyFont="1" applyAlignment="1">
      <alignment horizontal="left"/>
    </xf>
    <xf numFmtId="0" fontId="32" fillId="0" borderId="0" xfId="2" applyFont="1" applyAlignment="1">
      <alignment horizontal="center"/>
    </xf>
    <xf numFmtId="0" fontId="5" fillId="0" borderId="0" xfId="2" applyFont="1" applyAlignment="1">
      <alignment horizontal="left" indent="1"/>
    </xf>
    <xf numFmtId="0" fontId="1" fillId="0" borderId="0" xfId="2" applyAlignment="1">
      <alignment horizontal="left"/>
    </xf>
    <xf numFmtId="1" fontId="1" fillId="0" borderId="0" xfId="2" applyNumberFormat="1"/>
    <xf numFmtId="0" fontId="29" fillId="0" borderId="0" xfId="2" applyFont="1" applyAlignment="1">
      <alignment horizontal="left" indent="1"/>
    </xf>
    <xf numFmtId="0" fontId="12" fillId="0" borderId="0" xfId="2" applyFont="1" applyAlignment="1">
      <alignment horizontal="left"/>
    </xf>
    <xf numFmtId="0" fontId="53" fillId="0" borderId="0" xfId="2" applyFont="1" applyAlignment="1">
      <alignment horizontal="left" indent="1"/>
    </xf>
    <xf numFmtId="1" fontId="12" fillId="0" borderId="16" xfId="2" applyNumberFormat="1" applyFont="1" applyBorder="1"/>
    <xf numFmtId="0" fontId="12" fillId="0" borderId="21" xfId="2" applyFont="1" applyBorder="1"/>
    <xf numFmtId="0" fontId="8" fillId="0" borderId="21" xfId="2" applyFont="1" applyBorder="1" applyAlignment="1">
      <alignment horizontal="right"/>
    </xf>
    <xf numFmtId="1" fontId="12" fillId="0" borderId="21" xfId="2" applyNumberFormat="1" applyFont="1" applyBorder="1"/>
    <xf numFmtId="1" fontId="9" fillId="0" borderId="0" xfId="2" applyNumberFormat="1" applyFont="1"/>
    <xf numFmtId="0" fontId="8" fillId="0" borderId="0" xfId="2" applyFont="1" applyAlignment="1">
      <alignment horizontal="left"/>
    </xf>
    <xf numFmtId="0" fontId="8" fillId="0" borderId="21" xfId="2" applyFont="1" applyBorder="1" applyAlignment="1">
      <alignment horizontal="left"/>
    </xf>
    <xf numFmtId="0" fontId="54" fillId="6" borderId="1" xfId="2" applyFont="1" applyFill="1" applyBorder="1" applyAlignment="1">
      <alignment horizontal="center"/>
    </xf>
    <xf numFmtId="0" fontId="54" fillId="6" borderId="2" xfId="2" applyFont="1" applyFill="1" applyBorder="1" applyAlignment="1">
      <alignment horizontal="center"/>
    </xf>
    <xf numFmtId="0" fontId="54" fillId="6" borderId="3" xfId="2" applyFont="1" applyFill="1" applyBorder="1" applyAlignment="1">
      <alignment horizontal="center"/>
    </xf>
    <xf numFmtId="0" fontId="1" fillId="6" borderId="4" xfId="2" applyFill="1" applyBorder="1" applyAlignment="1">
      <alignment horizontal="left" indent="1"/>
    </xf>
    <xf numFmtId="0" fontId="1" fillId="6" borderId="5" xfId="2" applyFill="1" applyBorder="1" applyAlignment="1">
      <alignment horizontal="center"/>
    </xf>
    <xf numFmtId="9" fontId="1" fillId="6" borderId="5" xfId="1" applyFont="1" applyFill="1" applyBorder="1" applyAlignment="1">
      <alignment horizontal="center"/>
    </xf>
    <xf numFmtId="0" fontId="24" fillId="0" borderId="0" xfId="2" applyFont="1" applyAlignment="1">
      <alignment horizontal="center"/>
    </xf>
    <xf numFmtId="0" fontId="55" fillId="10" borderId="4" xfId="2" applyFont="1" applyFill="1" applyBorder="1" applyAlignment="1">
      <alignment horizontal="center"/>
    </xf>
    <xf numFmtId="0" fontId="55" fillId="10" borderId="0" xfId="2" applyFont="1" applyFill="1" applyAlignment="1">
      <alignment horizontal="center"/>
    </xf>
    <xf numFmtId="0" fontId="55" fillId="10" borderId="5" xfId="2" applyFont="1" applyFill="1" applyBorder="1" applyAlignment="1">
      <alignment horizontal="center"/>
    </xf>
    <xf numFmtId="1" fontId="24" fillId="0" borderId="0" xfId="2" applyNumberFormat="1" applyFont="1" applyAlignment="1">
      <alignment horizontal="left"/>
    </xf>
    <xf numFmtId="0" fontId="1" fillId="10" borderId="4" xfId="2" applyFill="1" applyBorder="1" applyAlignment="1">
      <alignment horizontal="center"/>
    </xf>
    <xf numFmtId="0" fontId="1" fillId="10" borderId="0" xfId="2" applyFill="1" applyAlignment="1">
      <alignment horizontal="center"/>
    </xf>
    <xf numFmtId="0" fontId="1" fillId="10" borderId="5" xfId="2" applyFill="1" applyBorder="1" applyAlignment="1">
      <alignment horizontal="center"/>
    </xf>
    <xf numFmtId="1" fontId="24" fillId="0" borderId="0" xfId="2" applyNumberFormat="1" applyFont="1" applyAlignment="1">
      <alignment horizontal="center"/>
    </xf>
    <xf numFmtId="0" fontId="56" fillId="10" borderId="4" xfId="2" applyFont="1" applyFill="1" applyBorder="1" applyAlignment="1">
      <alignment horizontal="center"/>
    </xf>
    <xf numFmtId="0" fontId="56" fillId="10" borderId="0" xfId="2" applyFont="1" applyFill="1" applyAlignment="1">
      <alignment horizontal="center"/>
    </xf>
    <xf numFmtId="0" fontId="56" fillId="10" borderId="5" xfId="2" applyFont="1" applyFill="1" applyBorder="1" applyAlignment="1">
      <alignment horizontal="center"/>
    </xf>
    <xf numFmtId="0" fontId="1" fillId="10" borderId="7" xfId="2" applyFill="1" applyBorder="1" applyAlignment="1">
      <alignment horizontal="center"/>
    </xf>
    <xf numFmtId="0" fontId="1" fillId="10" borderId="8" xfId="2" applyFill="1" applyBorder="1" applyAlignment="1">
      <alignment horizontal="center"/>
    </xf>
    <xf numFmtId="0" fontId="1" fillId="10" borderId="9" xfId="2" applyFill="1" applyBorder="1" applyAlignment="1">
      <alignment horizontal="center"/>
    </xf>
    <xf numFmtId="0" fontId="57" fillId="0" borderId="0" xfId="2" applyFont="1"/>
    <xf numFmtId="0" fontId="58" fillId="0" borderId="0" xfId="2" applyFont="1"/>
    <xf numFmtId="14" fontId="1" fillId="0" borderId="0" xfId="2" applyNumberFormat="1" applyAlignment="1">
      <alignment horizontal="center"/>
    </xf>
    <xf numFmtId="2" fontId="59" fillId="0" borderId="0" xfId="2" applyNumberFormat="1" applyFont="1" applyAlignment="1">
      <alignment horizontal="center"/>
    </xf>
    <xf numFmtId="0" fontId="1" fillId="0" borderId="0" xfId="2"/>
    <xf numFmtId="0" fontId="1" fillId="0" borderId="0" xfId="2" applyAlignment="1">
      <alignment horizontal="center"/>
    </xf>
    <xf numFmtId="0" fontId="24" fillId="0" borderId="0" xfId="2" applyFont="1" applyAlignment="1">
      <alignment horizontal="left" indent="1"/>
    </xf>
    <xf numFmtId="17" fontId="1" fillId="0" borderId="0" xfId="2" applyNumberFormat="1" applyAlignment="1">
      <alignment horizontal="center"/>
    </xf>
    <xf numFmtId="1" fontId="1" fillId="0" borderId="0" xfId="2" applyNumberFormat="1" applyAlignment="1">
      <alignment horizontal="center"/>
    </xf>
    <xf numFmtId="1" fontId="1" fillId="0" borderId="0" xfId="2" applyNumberFormat="1" applyAlignment="1">
      <alignment horizontal="right"/>
    </xf>
    <xf numFmtId="2" fontId="60" fillId="0" borderId="0" xfId="2" applyNumberFormat="1" applyFont="1" applyAlignment="1">
      <alignment horizontal="center"/>
    </xf>
    <xf numFmtId="0" fontId="60" fillId="0" borderId="0" xfId="2" applyFont="1" applyAlignment="1">
      <alignment horizontal="center"/>
    </xf>
    <xf numFmtId="0" fontId="60" fillId="0" borderId="0" xfId="2" applyFont="1"/>
    <xf numFmtId="1" fontId="60" fillId="0" borderId="0" xfId="2" applyNumberFormat="1" applyFont="1" applyAlignment="1">
      <alignment horizontal="center"/>
    </xf>
    <xf numFmtId="1" fontId="1" fillId="0" borderId="21" xfId="2" applyNumberFormat="1" applyBorder="1"/>
    <xf numFmtId="17" fontId="1" fillId="0" borderId="0" xfId="2" applyNumberFormat="1"/>
    <xf numFmtId="1" fontId="59" fillId="3" borderId="21" xfId="2" applyNumberFormat="1" applyFont="1" applyFill="1" applyBorder="1" applyAlignment="1">
      <alignment horizontal="center"/>
    </xf>
    <xf numFmtId="0" fontId="8" fillId="11" borderId="0" xfId="2" applyFont="1" applyFill="1" applyAlignment="1">
      <alignment shrinkToFit="1"/>
    </xf>
    <xf numFmtId="0" fontId="12" fillId="11" borderId="0" xfId="2" applyFont="1" applyFill="1"/>
    <xf numFmtId="0" fontId="61" fillId="12" borderId="0" xfId="2" applyFont="1" applyFill="1"/>
    <xf numFmtId="0" fontId="59" fillId="12" borderId="0" xfId="2" applyFont="1" applyFill="1"/>
    <xf numFmtId="0" fontId="11" fillId="12" borderId="0" xfId="2" applyFont="1" applyFill="1"/>
    <xf numFmtId="1" fontId="17" fillId="12" borderId="0" xfId="2" applyNumberFormat="1" applyFont="1" applyFill="1"/>
    <xf numFmtId="164" fontId="12" fillId="0" borderId="0" xfId="2" applyNumberFormat="1" applyFont="1" applyAlignment="1">
      <alignment horizontal="center"/>
    </xf>
    <xf numFmtId="2" fontId="62" fillId="0" borderId="0" xfId="2" applyNumberFormat="1" applyFont="1"/>
    <xf numFmtId="0" fontId="24" fillId="0" borderId="0" xfId="2" applyFont="1" applyAlignment="1">
      <alignment horizontal="center" vertical="center"/>
    </xf>
    <xf numFmtId="0" fontId="1" fillId="0" borderId="0" xfId="2" applyAlignment="1">
      <alignment horizontal="center" vertical="center"/>
    </xf>
    <xf numFmtId="1" fontId="49"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2" applyFont="1" applyAlignment="1">
      <alignment horizontal="center" shrinkToFit="1"/>
    </xf>
    <xf numFmtId="165" fontId="1" fillId="0" borderId="0" xfId="2" applyNumberFormat="1" applyAlignment="1">
      <alignment horizontal="center"/>
    </xf>
    <xf numFmtId="1" fontId="1" fillId="6" borderId="0" xfId="2" applyNumberFormat="1" applyFill="1"/>
    <xf numFmtId="2" fontId="63" fillId="0" borderId="0" xfId="2" applyNumberFormat="1" applyFont="1" applyAlignment="1">
      <alignment horizontal="center"/>
    </xf>
    <xf numFmtId="0" fontId="63" fillId="0" borderId="0" xfId="2" applyFont="1" applyAlignment="1">
      <alignment horizontal="center"/>
    </xf>
    <xf numFmtId="0" fontId="63" fillId="0" borderId="0" xfId="2" applyFont="1"/>
    <xf numFmtId="1" fontId="63" fillId="0" borderId="0" xfId="2" applyNumberFormat="1" applyFont="1" applyAlignment="1">
      <alignment horizontal="center"/>
    </xf>
    <xf numFmtId="2" fontId="1" fillId="0" borderId="0" xfId="2" applyNumberFormat="1"/>
    <xf numFmtId="2" fontId="1" fillId="0" borderId="0" xfId="2" applyNumberFormat="1" applyAlignment="1">
      <alignment horizontal="center"/>
    </xf>
    <xf numFmtId="1" fontId="59" fillId="0" borderId="21" xfId="2" applyNumberFormat="1" applyFont="1" applyBorder="1"/>
    <xf numFmtId="0" fontId="8" fillId="0" borderId="8" xfId="2" applyFont="1" applyBorder="1" applyAlignment="1">
      <alignment shrinkToFit="1"/>
    </xf>
    <xf numFmtId="0" fontId="1" fillId="0" borderId="8" xfId="2" applyBorder="1"/>
    <xf numFmtId="1" fontId="59" fillId="0" borderId="8" xfId="2" applyNumberFormat="1" applyFont="1" applyBorder="1"/>
    <xf numFmtId="2" fontId="59" fillId="0" borderId="0" xfId="2" applyNumberFormat="1" applyFont="1"/>
    <xf numFmtId="9" fontId="5" fillId="0" borderId="0" xfId="2" applyNumberFormat="1" applyFont="1" applyAlignment="1">
      <alignment horizontal="center"/>
    </xf>
    <xf numFmtId="0" fontId="64" fillId="0" borderId="0" xfId="2" applyFont="1" applyAlignment="1">
      <alignment horizontal="left"/>
    </xf>
    <xf numFmtId="2" fontId="9" fillId="0" borderId="0" xfId="2" applyNumberFormat="1" applyFont="1" applyAlignment="1">
      <alignment horizontal="center"/>
    </xf>
    <xf numFmtId="1" fontId="9" fillId="0" borderId="0" xfId="2" applyNumberFormat="1" applyFont="1" applyAlignment="1">
      <alignment horizontal="center"/>
    </xf>
    <xf numFmtId="15" fontId="34" fillId="0" borderId="0" xfId="2" applyNumberFormat="1" applyFont="1" applyAlignment="1">
      <alignment shrinkToFit="1"/>
    </xf>
    <xf numFmtId="1" fontId="64" fillId="0" borderId="0" xfId="2" applyNumberFormat="1" applyFont="1" applyAlignment="1">
      <alignment horizontal="left"/>
    </xf>
    <xf numFmtId="1" fontId="64" fillId="0" borderId="0" xfId="2" applyNumberFormat="1" applyFont="1" applyAlignment="1">
      <alignment horizontal="right"/>
    </xf>
    <xf numFmtId="0" fontId="12" fillId="0" borderId="8" xfId="2" applyFont="1" applyBorder="1"/>
    <xf numFmtId="0" fontId="24" fillId="0" borderId="8" xfId="2" applyFont="1" applyBorder="1"/>
    <xf numFmtId="1" fontId="1" fillId="0" borderId="8" xfId="2" applyNumberFormat="1" applyBorder="1" applyAlignment="1">
      <alignment horizontal="right"/>
    </xf>
    <xf numFmtId="1" fontId="1" fillId="0" borderId="8" xfId="2" applyNumberFormat="1" applyBorder="1"/>
    <xf numFmtId="2" fontId="59" fillId="0" borderId="8" xfId="2" applyNumberFormat="1" applyFont="1" applyBorder="1" applyAlignment="1">
      <alignment horizontal="center"/>
    </xf>
    <xf numFmtId="0" fontId="65" fillId="0" borderId="1" xfId="2" applyFont="1" applyBorder="1"/>
    <xf numFmtId="0" fontId="16" fillId="0" borderId="2" xfId="2" applyFont="1" applyBorder="1"/>
    <xf numFmtId="0" fontId="66" fillId="0" borderId="2" xfId="2" applyFont="1" applyBorder="1" applyAlignment="1">
      <alignment horizontal="center"/>
    </xf>
    <xf numFmtId="0" fontId="66" fillId="0" borderId="3" xfId="2" applyFont="1" applyBorder="1" applyAlignment="1">
      <alignment horizontal="center"/>
    </xf>
    <xf numFmtId="0" fontId="67" fillId="0" borderId="0" xfId="2" applyFont="1"/>
    <xf numFmtId="0" fontId="9" fillId="0" borderId="4" xfId="2" applyFont="1" applyBorder="1"/>
    <xf numFmtId="0" fontId="35" fillId="0" borderId="0" xfId="2" applyFont="1"/>
    <xf numFmtId="0" fontId="68" fillId="0" borderId="4" xfId="2" applyFont="1" applyBorder="1" applyAlignment="1">
      <alignment horizontal="center" vertical="center"/>
    </xf>
    <xf numFmtId="0" fontId="70" fillId="0" borderId="0" xfId="2" applyFont="1" applyAlignment="1">
      <alignment horizontal="left" vertical="top" wrapText="1"/>
    </xf>
    <xf numFmtId="0" fontId="70" fillId="0" borderId="5" xfId="2" applyFont="1" applyBorder="1" applyAlignment="1">
      <alignment horizontal="left" vertical="top" wrapText="1"/>
    </xf>
    <xf numFmtId="0" fontId="18" fillId="0" borderId="0" xfId="2" applyFont="1" applyAlignment="1">
      <alignment horizontal="left" vertical="center"/>
    </xf>
    <xf numFmtId="0" fontId="16" fillId="0" borderId="4" xfId="2" applyFont="1" applyBorder="1" applyAlignment="1">
      <alignment shrinkToFit="1"/>
    </xf>
    <xf numFmtId="0" fontId="71" fillId="0" borderId="0" xfId="2" applyFont="1" applyAlignment="1">
      <alignment horizontal="left" vertical="top" wrapText="1"/>
    </xf>
    <xf numFmtId="0" fontId="71" fillId="0" borderId="5" xfId="2" applyFont="1" applyBorder="1" applyAlignment="1">
      <alignment horizontal="left" vertical="top" wrapText="1"/>
    </xf>
    <xf numFmtId="0" fontId="16" fillId="0" borderId="7" xfId="2" applyFont="1" applyBorder="1" applyAlignment="1">
      <alignment shrinkToFit="1"/>
    </xf>
    <xf numFmtId="0" fontId="70" fillId="0" borderId="8" xfId="2" applyFont="1" applyBorder="1" applyAlignment="1">
      <alignment horizontal="left" vertical="top" wrapText="1"/>
    </xf>
    <xf numFmtId="0" fontId="16" fillId="0" borderId="9" xfId="2" applyFont="1" applyBorder="1"/>
    <xf numFmtId="0" fontId="16" fillId="0" borderId="0" xfId="2" applyFont="1" applyAlignment="1">
      <alignment shrinkToFit="1"/>
    </xf>
    <xf numFmtId="0" fontId="70" fillId="0" borderId="0" xfId="2" applyFont="1" applyAlignment="1">
      <alignment horizontal="left" vertical="top" wrapText="1"/>
    </xf>
    <xf numFmtId="0" fontId="70" fillId="0" borderId="2" xfId="2" applyFont="1" applyBorder="1" applyAlignment="1">
      <alignment horizontal="left" vertical="top" wrapText="1"/>
    </xf>
    <xf numFmtId="0" fontId="73" fillId="0" borderId="2" xfId="2" applyFont="1" applyBorder="1" applyAlignment="1">
      <alignment horizontal="center"/>
    </xf>
    <xf numFmtId="0" fontId="73" fillId="0" borderId="3" xfId="2" applyFont="1" applyBorder="1" applyAlignment="1">
      <alignment horizontal="center"/>
    </xf>
    <xf numFmtId="0" fontId="74" fillId="0" borderId="0" xfId="2" applyFont="1"/>
    <xf numFmtId="0" fontId="8" fillId="0" borderId="7" xfId="2" applyFont="1" applyBorder="1" applyAlignment="1">
      <alignment shrinkToFit="1"/>
    </xf>
    <xf numFmtId="0" fontId="16" fillId="0" borderId="8" xfId="2" applyFont="1" applyBorder="1"/>
    <xf numFmtId="0" fontId="12" fillId="0" borderId="9" xfId="2" applyFont="1" applyBorder="1"/>
    <xf numFmtId="0" fontId="66" fillId="0" borderId="1" xfId="2" applyFont="1" applyBorder="1"/>
    <xf numFmtId="0" fontId="24" fillId="0" borderId="2" xfId="2" applyFont="1" applyBorder="1" applyAlignment="1">
      <alignment horizontal="center"/>
    </xf>
    <xf numFmtId="0" fontId="1" fillId="0" borderId="2" xfId="2" applyBorder="1" applyAlignment="1">
      <alignment horizontal="center"/>
    </xf>
    <xf numFmtId="0" fontId="40" fillId="0" borderId="2" xfId="2" applyFont="1" applyBorder="1"/>
    <xf numFmtId="0" fontId="12" fillId="0" borderId="2" xfId="2" applyFont="1" applyBorder="1"/>
    <xf numFmtId="0" fontId="12" fillId="0" borderId="3" xfId="2" applyFont="1" applyBorder="1"/>
    <xf numFmtId="0" fontId="12" fillId="0" borderId="4" xfId="2" applyFont="1" applyBorder="1" applyAlignment="1">
      <alignment horizontal="left" indent="1"/>
    </xf>
    <xf numFmtId="0" fontId="1" fillId="0" borderId="0" xfId="2" applyAlignment="1">
      <alignment horizontal="right"/>
    </xf>
    <xf numFmtId="0" fontId="66" fillId="0" borderId="4" xfId="2" applyFont="1" applyBorder="1"/>
    <xf numFmtId="0" fontId="7" fillId="0" borderId="0" xfId="2" applyFont="1" applyAlignment="1">
      <alignment horizontal="left"/>
    </xf>
    <xf numFmtId="0" fontId="1" fillId="0" borderId="0" xfId="2" applyAlignment="1">
      <alignment horizontal="left" indent="1"/>
    </xf>
    <xf numFmtId="0" fontId="66" fillId="0" borderId="7" xfId="2" applyFont="1" applyBorder="1"/>
    <xf numFmtId="0" fontId="75" fillId="0" borderId="8" xfId="2" applyFont="1" applyBorder="1"/>
    <xf numFmtId="0" fontId="1" fillId="0" borderId="8" xfId="2" applyBorder="1" applyAlignment="1">
      <alignment horizontal="right"/>
    </xf>
  </cellXfs>
  <cellStyles count="3">
    <cellStyle name="Normal" xfId="0" builtinId="0"/>
    <cellStyle name="Normal 2 2" xfId="2" xr:uid="{52CA3A9E-BFD3-4DF1-903B-A9F19D856C9B}"/>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E27E8-EB79-4912-99ED-956E73E36D18}">
  <sheetPr>
    <pageSetUpPr fitToPage="1"/>
  </sheetPr>
  <dimension ref="A1:O185"/>
  <sheetViews>
    <sheetView showZeros="0" tabSelected="1" topLeftCell="A10" zoomScale="120" workbookViewId="0">
      <selection activeCell="K79" sqref="K79"/>
    </sheetView>
  </sheetViews>
  <sheetFormatPr defaultColWidth="9.109375" defaultRowHeight="15" customHeight="1" x14ac:dyDescent="0.25"/>
  <cols>
    <col min="1" max="1" width="4" style="109"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5.109375" style="18" customWidth="1"/>
    <col min="11" max="11" width="29.88671875" style="18" customWidth="1"/>
    <col min="12" max="13" width="9.33203125" style="18" customWidth="1"/>
    <col min="14" max="14" width="10.6640625"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c r="N1" s="8" t="s">
        <v>3</v>
      </c>
    </row>
    <row r="2" spans="1:14" ht="15" customHeight="1" thickBot="1" x14ac:dyDescent="0.3">
      <c r="A2" s="10" t="s">
        <v>4</v>
      </c>
      <c r="B2" s="11"/>
      <c r="C2" s="11"/>
      <c r="D2" s="12" t="s">
        <v>5</v>
      </c>
      <c r="E2" s="13" t="s">
        <v>6</v>
      </c>
      <c r="F2" s="14" t="s">
        <v>7</v>
      </c>
      <c r="G2" s="14"/>
      <c r="H2" s="15">
        <v>20018</v>
      </c>
      <c r="I2" s="16" t="str">
        <f>IF(H2&lt;21642,"Sr",0)</f>
        <v>Sr</v>
      </c>
      <c r="J2" s="17"/>
      <c r="M2" s="17" t="s">
        <v>8</v>
      </c>
      <c r="N2" s="19">
        <v>44382</v>
      </c>
    </row>
    <row r="3" spans="1:14" ht="15" customHeight="1" x14ac:dyDescent="0.25">
      <c r="A3" s="20"/>
      <c r="B3" s="21" t="s">
        <v>9</v>
      </c>
      <c r="D3" s="22" t="s">
        <v>10</v>
      </c>
      <c r="G3" s="23"/>
      <c r="H3" s="24" t="s">
        <v>11</v>
      </c>
      <c r="I3" s="25"/>
      <c r="K3" s="26" t="s">
        <v>12</v>
      </c>
      <c r="L3" s="18">
        <v>1877000</v>
      </c>
      <c r="N3" s="27" t="s">
        <v>13</v>
      </c>
    </row>
    <row r="4" spans="1:14" ht="15" customHeight="1" x14ac:dyDescent="0.25">
      <c r="A4" s="28"/>
      <c r="B4" s="29" t="s">
        <v>14</v>
      </c>
      <c r="C4" s="30" t="s">
        <v>15</v>
      </c>
      <c r="G4" s="31">
        <f>+L3</f>
        <v>1877000</v>
      </c>
      <c r="H4" s="32"/>
      <c r="I4" s="33"/>
      <c r="N4" s="34">
        <v>44561</v>
      </c>
    </row>
    <row r="5" spans="1:14" ht="15" customHeight="1" x14ac:dyDescent="0.25">
      <c r="A5" s="28"/>
      <c r="B5" s="29" t="s">
        <v>16</v>
      </c>
      <c r="C5" s="30" t="s">
        <v>17</v>
      </c>
      <c r="G5" s="31">
        <f>+L9+L10</f>
        <v>0</v>
      </c>
      <c r="H5" s="32"/>
      <c r="I5" s="33"/>
      <c r="N5" s="35" t="s">
        <v>18</v>
      </c>
    </row>
    <row r="6" spans="1:14" ht="15" customHeight="1" thickBot="1" x14ac:dyDescent="0.3">
      <c r="A6" s="28"/>
      <c r="B6" s="29" t="s">
        <v>19</v>
      </c>
      <c r="C6" s="30" t="s">
        <v>20</v>
      </c>
      <c r="G6" s="36"/>
      <c r="H6" s="32"/>
      <c r="I6" s="33"/>
      <c r="M6" s="37"/>
      <c r="N6" s="38">
        <v>44499</v>
      </c>
    </row>
    <row r="7" spans="1:14" ht="15" customHeight="1" x14ac:dyDescent="0.25">
      <c r="A7" s="28"/>
      <c r="B7" s="21"/>
      <c r="C7" s="30"/>
      <c r="F7" s="39" t="s">
        <v>21</v>
      </c>
      <c r="G7" s="40">
        <f>G4+G5+G6</f>
        <v>1877000</v>
      </c>
      <c r="H7" s="32"/>
      <c r="I7" s="33"/>
      <c r="N7" s="41" t="s">
        <v>22</v>
      </c>
    </row>
    <row r="8" spans="1:14" ht="15" customHeight="1" x14ac:dyDescent="0.25">
      <c r="A8" s="28"/>
      <c r="B8" s="42" t="s">
        <v>23</v>
      </c>
      <c r="C8" s="30" t="s">
        <v>24</v>
      </c>
      <c r="G8" s="36">
        <f>M8+M9</f>
        <v>0</v>
      </c>
      <c r="H8" s="32"/>
      <c r="I8" s="33"/>
      <c r="N8" s="43" t="s">
        <v>25</v>
      </c>
    </row>
    <row r="9" spans="1:14" ht="15" customHeight="1" thickBot="1" x14ac:dyDescent="0.3">
      <c r="A9" s="28"/>
      <c r="B9" s="21"/>
      <c r="F9" s="39" t="s">
        <v>26</v>
      </c>
      <c r="G9" s="44">
        <f>G7-G8</f>
        <v>1877000</v>
      </c>
      <c r="H9" s="32"/>
      <c r="I9" s="33"/>
      <c r="N9" s="45">
        <v>5000</v>
      </c>
    </row>
    <row r="10" spans="1:14" ht="15" customHeight="1" x14ac:dyDescent="0.25">
      <c r="A10" s="28"/>
      <c r="B10" s="29" t="s">
        <v>27</v>
      </c>
      <c r="C10" s="46" t="s">
        <v>28</v>
      </c>
      <c r="G10" s="36">
        <v>50000</v>
      </c>
      <c r="H10" s="32">
        <f>G9-G10</f>
        <v>1827000</v>
      </c>
      <c r="I10" s="33"/>
      <c r="J10" s="17"/>
    </row>
    <row r="11" spans="1:14" ht="21" customHeight="1" x14ac:dyDescent="0.25">
      <c r="A11" s="28"/>
      <c r="B11" s="21" t="s">
        <v>29</v>
      </c>
      <c r="E11" s="47"/>
      <c r="G11" s="23"/>
      <c r="H11" s="32"/>
      <c r="I11" s="33"/>
      <c r="K11" s="18" t="s">
        <v>30</v>
      </c>
      <c r="L11" s="48"/>
    </row>
    <row r="12" spans="1:14" ht="15" customHeight="1" x14ac:dyDescent="0.25">
      <c r="A12" s="28"/>
      <c r="B12" s="49" t="s">
        <v>31</v>
      </c>
      <c r="C12" s="50" t="s">
        <v>32</v>
      </c>
      <c r="D12" s="30"/>
      <c r="E12" s="51" t="s">
        <v>33</v>
      </c>
      <c r="F12" s="17"/>
      <c r="G12" s="52" t="s">
        <v>34</v>
      </c>
      <c r="H12" s="53"/>
      <c r="I12" s="33"/>
      <c r="J12" s="17"/>
      <c r="K12" s="18" t="s">
        <v>35</v>
      </c>
    </row>
    <row r="13" spans="1:14" ht="15" customHeight="1" x14ac:dyDescent="0.25">
      <c r="A13" s="28"/>
      <c r="C13" s="54" t="s">
        <v>36</v>
      </c>
      <c r="D13" s="30"/>
      <c r="E13" s="55" t="s">
        <v>37</v>
      </c>
      <c r="F13" s="17"/>
      <c r="G13" s="56" t="s">
        <v>34</v>
      </c>
      <c r="H13" s="53"/>
      <c r="I13" s="33"/>
      <c r="J13" s="17"/>
      <c r="K13" s="18" t="s">
        <v>38</v>
      </c>
    </row>
    <row r="14" spans="1:14" ht="15" customHeight="1" x14ac:dyDescent="0.25">
      <c r="A14" s="28"/>
      <c r="C14" s="50"/>
      <c r="D14" s="30"/>
      <c r="F14" s="17"/>
      <c r="G14" s="57" t="s">
        <v>34</v>
      </c>
      <c r="H14" s="53"/>
      <c r="I14" s="33"/>
      <c r="K14" s="48" t="s">
        <v>39</v>
      </c>
      <c r="M14" s="48">
        <v>1000000</v>
      </c>
    </row>
    <row r="15" spans="1:14" ht="15" customHeight="1" x14ac:dyDescent="0.25">
      <c r="A15" s="28"/>
      <c r="B15" s="58" t="s">
        <v>40</v>
      </c>
      <c r="C15" s="46" t="s">
        <v>41</v>
      </c>
      <c r="D15" s="30"/>
      <c r="E15" s="46" t="s">
        <v>42</v>
      </c>
      <c r="F15" s="37" t="s">
        <v>34</v>
      </c>
      <c r="H15" s="53"/>
      <c r="I15" s="33"/>
      <c r="K15" s="48" t="s">
        <v>43</v>
      </c>
      <c r="M15" s="48">
        <v>80000</v>
      </c>
    </row>
    <row r="16" spans="1:14" ht="15" customHeight="1" x14ac:dyDescent="0.25">
      <c r="A16" s="28"/>
      <c r="B16" s="29"/>
      <c r="C16" s="46"/>
      <c r="E16" s="46" t="s">
        <v>44</v>
      </c>
      <c r="F16" s="59">
        <f>M16/2</f>
        <v>120000</v>
      </c>
      <c r="G16" s="60">
        <f>F16</f>
        <v>120000</v>
      </c>
      <c r="H16" s="53">
        <f>0-G16</f>
        <v>-120000</v>
      </c>
      <c r="I16" s="33"/>
      <c r="K16" s="48" t="s">
        <v>45</v>
      </c>
      <c r="M16" s="48">
        <v>240000</v>
      </c>
    </row>
    <row r="17" spans="1:14" ht="15" customHeight="1" x14ac:dyDescent="0.25">
      <c r="A17" s="28"/>
      <c r="B17" s="29"/>
      <c r="C17" s="29"/>
      <c r="D17" s="29"/>
      <c r="E17" s="29"/>
      <c r="F17" s="29"/>
      <c r="G17" s="29"/>
      <c r="H17" s="53"/>
      <c r="I17" s="33"/>
      <c r="K17" s="48" t="s">
        <v>46</v>
      </c>
      <c r="M17" s="48">
        <v>30000</v>
      </c>
    </row>
    <row r="18" spans="1:14" ht="15" customHeight="1" x14ac:dyDescent="0.25">
      <c r="A18" s="28"/>
      <c r="B18" s="49" t="s">
        <v>47</v>
      </c>
      <c r="C18" s="50" t="s">
        <v>48</v>
      </c>
      <c r="D18" s="30"/>
      <c r="E18" s="51" t="s">
        <v>49</v>
      </c>
      <c r="F18" s="17"/>
      <c r="G18" s="52">
        <f>+M14</f>
        <v>1000000</v>
      </c>
      <c r="H18" s="53"/>
      <c r="I18" s="33"/>
      <c r="K18" s="48" t="s">
        <v>50</v>
      </c>
      <c r="M18" s="48">
        <v>70000</v>
      </c>
    </row>
    <row r="19" spans="1:14" ht="15" customHeight="1" x14ac:dyDescent="0.25">
      <c r="A19" s="28"/>
      <c r="C19" s="54" t="s">
        <v>36</v>
      </c>
      <c r="D19" s="30"/>
      <c r="E19" s="55" t="s">
        <v>37</v>
      </c>
      <c r="F19" s="17"/>
      <c r="G19" s="56">
        <f>+M15/2</f>
        <v>40000</v>
      </c>
      <c r="H19" s="53"/>
      <c r="I19" s="33"/>
      <c r="J19" s="58"/>
      <c r="L19" s="48"/>
      <c r="M19" s="61"/>
    </row>
    <row r="20" spans="1:14" ht="15" customHeight="1" x14ac:dyDescent="0.25">
      <c r="A20" s="28"/>
      <c r="C20" s="50"/>
      <c r="D20" s="30"/>
      <c r="F20" s="17"/>
      <c r="G20" s="57">
        <f>G18-G19</f>
        <v>960000</v>
      </c>
      <c r="H20" s="53"/>
      <c r="I20" s="33"/>
      <c r="J20" s="29"/>
      <c r="K20" s="62"/>
      <c r="M20" s="61"/>
    </row>
    <row r="21" spans="1:14" ht="15" customHeight="1" x14ac:dyDescent="0.25">
      <c r="A21" s="28"/>
      <c r="B21" s="58" t="s">
        <v>40</v>
      </c>
      <c r="C21" s="46" t="s">
        <v>41</v>
      </c>
      <c r="D21" s="30"/>
      <c r="E21" s="46" t="s">
        <v>42</v>
      </c>
      <c r="F21" s="52">
        <f>G20*0.3</f>
        <v>288000</v>
      </c>
      <c r="H21" s="53"/>
      <c r="I21" s="33"/>
      <c r="J21" s="29"/>
      <c r="K21" s="63"/>
      <c r="M21" s="61"/>
    </row>
    <row r="22" spans="1:14" ht="15" customHeight="1" x14ac:dyDescent="0.25">
      <c r="A22" s="28"/>
      <c r="B22" s="29"/>
      <c r="C22" s="46"/>
      <c r="E22" s="46" t="s">
        <v>44</v>
      </c>
      <c r="F22" s="64">
        <f>+F16</f>
        <v>120000</v>
      </c>
      <c r="G22" s="60">
        <f>F21+F22</f>
        <v>408000</v>
      </c>
      <c r="H22" s="53">
        <f>G20-G22</f>
        <v>552000</v>
      </c>
      <c r="I22" s="33"/>
      <c r="J22" s="63" t="s">
        <v>51</v>
      </c>
      <c r="M22" s="61"/>
    </row>
    <row r="23" spans="1:14" ht="15" customHeight="1" x14ac:dyDescent="0.25">
      <c r="A23" s="28"/>
      <c r="B23" s="21" t="s">
        <v>52</v>
      </c>
      <c r="H23" s="53"/>
      <c r="I23" s="33"/>
      <c r="J23" s="65">
        <v>301</v>
      </c>
      <c r="K23" s="66" t="s">
        <v>53</v>
      </c>
      <c r="L23" s="66"/>
      <c r="M23" s="66">
        <v>3600000</v>
      </c>
    </row>
    <row r="24" spans="1:14" ht="15" customHeight="1" x14ac:dyDescent="0.25">
      <c r="A24" s="28"/>
      <c r="C24" s="46" t="s">
        <v>54</v>
      </c>
      <c r="G24" s="67"/>
      <c r="H24" s="53"/>
      <c r="I24" s="68"/>
      <c r="J24" s="65"/>
      <c r="K24" s="66" t="s">
        <v>55</v>
      </c>
      <c r="L24" s="66"/>
      <c r="M24" s="66">
        <v>80000</v>
      </c>
    </row>
    <row r="25" spans="1:14" ht="15" customHeight="1" x14ac:dyDescent="0.25">
      <c r="A25" s="28"/>
      <c r="B25" s="69" t="s">
        <v>56</v>
      </c>
      <c r="C25" s="70" t="s">
        <v>57</v>
      </c>
      <c r="H25" s="53"/>
      <c r="I25" s="68"/>
      <c r="J25" s="65">
        <v>105</v>
      </c>
      <c r="K25" s="66" t="s">
        <v>58</v>
      </c>
      <c r="L25" s="66"/>
      <c r="M25" s="66">
        <v>17600</v>
      </c>
    </row>
    <row r="26" spans="1:14" ht="15" customHeight="1" x14ac:dyDescent="0.25">
      <c r="A26" s="28"/>
      <c r="B26" s="29" t="s">
        <v>59</v>
      </c>
      <c r="C26" s="71" t="s">
        <v>60</v>
      </c>
      <c r="F26" s="18">
        <f>+M23</f>
        <v>3600000</v>
      </c>
      <c r="H26" s="53"/>
      <c r="I26" s="68"/>
      <c r="J26" s="46"/>
      <c r="K26" s="66" t="s">
        <v>61</v>
      </c>
      <c r="L26" s="66"/>
      <c r="M26" s="66">
        <v>700000</v>
      </c>
    </row>
    <row r="27" spans="1:14" ht="15" customHeight="1" x14ac:dyDescent="0.25">
      <c r="A27" s="28"/>
      <c r="B27" s="72">
        <v>0.1</v>
      </c>
      <c r="C27" s="71" t="s">
        <v>62</v>
      </c>
      <c r="E27" s="18">
        <f>+L25</f>
        <v>0</v>
      </c>
      <c r="F27" s="18">
        <f>+M24*-1</f>
        <v>-80000</v>
      </c>
      <c r="H27" s="53"/>
      <c r="I27" s="68"/>
      <c r="L27" s="73" t="s">
        <v>63</v>
      </c>
      <c r="M27" s="74">
        <f>G28*0.1</f>
        <v>350240</v>
      </c>
    </row>
    <row r="28" spans="1:14" ht="15" customHeight="1" x14ac:dyDescent="0.25">
      <c r="A28" s="28"/>
      <c r="B28" s="75"/>
      <c r="C28" s="76" t="s">
        <v>64</v>
      </c>
      <c r="D28" s="76"/>
      <c r="E28" s="76"/>
      <c r="F28" s="77">
        <f>+M25*-1</f>
        <v>-17600</v>
      </c>
      <c r="G28" s="18">
        <f>F26+F27+F28</f>
        <v>3502400</v>
      </c>
      <c r="H28" s="53"/>
      <c r="I28" s="68"/>
      <c r="K28" s="78" t="s">
        <v>65</v>
      </c>
      <c r="L28" s="78"/>
      <c r="M28" s="78">
        <f>ROUND(17600*301/105,0)</f>
        <v>50453</v>
      </c>
      <c r="N28" s="79"/>
    </row>
    <row r="29" spans="1:14" ht="15" customHeight="1" x14ac:dyDescent="0.25">
      <c r="A29" s="28"/>
      <c r="C29" s="80" t="s">
        <v>66</v>
      </c>
      <c r="G29" s="64">
        <f>+L28</f>
        <v>0</v>
      </c>
      <c r="H29" s="53">
        <f>G28-G29</f>
        <v>3502400</v>
      </c>
      <c r="I29" s="68"/>
      <c r="K29" s="78" t="s">
        <v>67</v>
      </c>
      <c r="L29" s="78"/>
      <c r="M29" s="78">
        <f>M23-M24-M28</f>
        <v>3469547</v>
      </c>
    </row>
    <row r="30" spans="1:14" ht="15" customHeight="1" x14ac:dyDescent="0.25">
      <c r="A30" s="28"/>
      <c r="B30" s="21" t="s">
        <v>68</v>
      </c>
      <c r="H30" s="53"/>
      <c r="I30" s="33"/>
      <c r="K30" s="78"/>
      <c r="L30" s="73" t="s">
        <v>69</v>
      </c>
      <c r="M30" s="74">
        <f>ROUND(M29*0.2,0)</f>
        <v>693909</v>
      </c>
    </row>
    <row r="31" spans="1:14" ht="15" customHeight="1" x14ac:dyDescent="0.25">
      <c r="A31" s="28"/>
      <c r="B31" s="81"/>
      <c r="C31" s="50" t="s">
        <v>70</v>
      </c>
      <c r="D31" s="29"/>
      <c r="E31" s="29"/>
      <c r="F31" s="46"/>
      <c r="G31" s="67">
        <f>+M32</f>
        <v>37910</v>
      </c>
      <c r="H31" s="53"/>
      <c r="I31" s="33"/>
    </row>
    <row r="32" spans="1:14" ht="15" customHeight="1" x14ac:dyDescent="0.25">
      <c r="A32" s="28"/>
      <c r="B32" s="81"/>
      <c r="C32" s="46" t="s">
        <v>71</v>
      </c>
      <c r="D32" s="29"/>
      <c r="E32" s="29"/>
      <c r="F32" s="46"/>
      <c r="G32" s="82">
        <f>+M34</f>
        <v>70000</v>
      </c>
      <c r="H32" s="53"/>
      <c r="I32" s="33"/>
      <c r="K32" s="18" t="s">
        <v>70</v>
      </c>
      <c r="M32" s="18">
        <v>37910</v>
      </c>
    </row>
    <row r="33" spans="1:13" ht="15" customHeight="1" x14ac:dyDescent="0.25">
      <c r="A33" s="28"/>
      <c r="B33" s="81"/>
      <c r="C33" s="18" t="s">
        <v>72</v>
      </c>
      <c r="G33" s="83"/>
      <c r="H33" s="53">
        <f>SUM(G31:G33)</f>
        <v>107910</v>
      </c>
      <c r="I33" s="33"/>
      <c r="J33" s="84" t="s">
        <v>73</v>
      </c>
      <c r="K33" s="46" t="s">
        <v>74</v>
      </c>
      <c r="M33" s="18">
        <v>786000</v>
      </c>
    </row>
    <row r="34" spans="1:13" ht="15" customHeight="1" x14ac:dyDescent="0.25">
      <c r="A34" s="28"/>
      <c r="B34" s="81"/>
      <c r="G34" s="26"/>
      <c r="H34" s="53"/>
      <c r="I34" s="85"/>
      <c r="K34" s="18" t="s">
        <v>71</v>
      </c>
      <c r="M34" s="18">
        <v>70000</v>
      </c>
    </row>
    <row r="35" spans="1:13" ht="15" customHeight="1" x14ac:dyDescent="0.25">
      <c r="A35" s="28"/>
      <c r="B35" s="21" t="s">
        <v>75</v>
      </c>
      <c r="E35" s="17"/>
      <c r="F35" s="17"/>
      <c r="G35" s="32"/>
      <c r="H35" s="86">
        <f>SUM(H4:H34)</f>
        <v>5869310</v>
      </c>
      <c r="I35" s="87"/>
    </row>
    <row r="36" spans="1:13" ht="15" customHeight="1" x14ac:dyDescent="0.25">
      <c r="A36" s="28"/>
      <c r="B36" s="88" t="s">
        <v>76</v>
      </c>
      <c r="H36" s="53"/>
      <c r="I36" s="33"/>
    </row>
    <row r="37" spans="1:13" ht="15" customHeight="1" x14ac:dyDescent="0.25">
      <c r="A37" s="28"/>
      <c r="B37" s="89"/>
      <c r="C37" s="47" t="s">
        <v>77</v>
      </c>
      <c r="D37" s="18" t="str">
        <f>+K37</f>
        <v>Public Prov Fund</v>
      </c>
      <c r="G37" s="52">
        <f>+M37</f>
        <v>120000</v>
      </c>
      <c r="H37" s="53"/>
      <c r="I37" s="33"/>
      <c r="K37" s="90" t="s">
        <v>78</v>
      </c>
      <c r="L37" s="90"/>
      <c r="M37" s="90">
        <v>120000</v>
      </c>
    </row>
    <row r="38" spans="1:13" ht="15" customHeight="1" x14ac:dyDescent="0.25">
      <c r="A38" s="28"/>
      <c r="B38" s="89"/>
      <c r="C38" s="47" t="s">
        <v>79</v>
      </c>
      <c r="D38" s="46"/>
      <c r="F38" s="91"/>
      <c r="G38" s="52">
        <v>10000</v>
      </c>
      <c r="H38" s="53"/>
      <c r="I38" s="33"/>
      <c r="K38" s="90" t="s">
        <v>80</v>
      </c>
      <c r="L38" s="90"/>
      <c r="M38" s="90">
        <v>60000</v>
      </c>
    </row>
    <row r="39" spans="1:13" ht="15" customHeight="1" x14ac:dyDescent="0.25">
      <c r="A39" s="28"/>
      <c r="B39" s="89"/>
      <c r="C39" s="47" t="s">
        <v>81</v>
      </c>
      <c r="F39" s="92"/>
      <c r="G39" s="67">
        <v>50000</v>
      </c>
      <c r="H39" s="53"/>
      <c r="I39" s="33"/>
      <c r="K39" s="90" t="s">
        <v>82</v>
      </c>
      <c r="L39" s="90"/>
      <c r="M39" s="90">
        <v>29000</v>
      </c>
    </row>
    <row r="40" spans="1:13" ht="15" customHeight="1" x14ac:dyDescent="0.25">
      <c r="A40" s="28"/>
      <c r="B40" s="89"/>
      <c r="C40" s="47" t="s">
        <v>83</v>
      </c>
      <c r="D40" s="93" t="s">
        <v>84</v>
      </c>
      <c r="G40" s="52">
        <f>M39+5000</f>
        <v>34000</v>
      </c>
      <c r="H40" s="53"/>
      <c r="I40" s="33"/>
      <c r="K40" s="90" t="s">
        <v>85</v>
      </c>
      <c r="L40" s="90"/>
      <c r="M40" s="90">
        <v>7000</v>
      </c>
    </row>
    <row r="41" spans="1:13" ht="15" customHeight="1" x14ac:dyDescent="0.25">
      <c r="A41" s="28"/>
      <c r="B41" s="89"/>
      <c r="C41" s="47" t="s">
        <v>86</v>
      </c>
      <c r="D41" s="94" t="s">
        <v>87</v>
      </c>
      <c r="G41" s="52"/>
      <c r="H41" s="53"/>
      <c r="I41" s="33"/>
      <c r="K41" s="90" t="s">
        <v>88</v>
      </c>
      <c r="L41" s="90"/>
      <c r="M41" s="90">
        <v>14000</v>
      </c>
    </row>
    <row r="42" spans="1:13" ht="15" customHeight="1" x14ac:dyDescent="0.25">
      <c r="A42" s="95" t="str">
        <f>+I2</f>
        <v>Sr</v>
      </c>
      <c r="C42" s="47" t="s">
        <v>89</v>
      </c>
      <c r="D42" s="46" t="s">
        <v>90</v>
      </c>
      <c r="E42" s="17"/>
      <c r="F42" s="17"/>
      <c r="G42" s="96">
        <f>+G31</f>
        <v>37910</v>
      </c>
      <c r="H42" s="53">
        <f>SUM(G37:G42)</f>
        <v>251910</v>
      </c>
      <c r="I42" s="33"/>
      <c r="K42" s="97"/>
    </row>
    <row r="43" spans="1:13" ht="15" customHeight="1" thickBot="1" x14ac:dyDescent="0.3">
      <c r="A43" s="28"/>
      <c r="B43" s="98" t="s">
        <v>91</v>
      </c>
      <c r="E43" s="99">
        <f>IF((H35-H42)&lt;0,0,(H35-H42))</f>
        <v>5617400</v>
      </c>
      <c r="F43" s="100" t="s">
        <v>92</v>
      </c>
      <c r="G43" s="101"/>
      <c r="H43" s="102">
        <f>ROUND((E43/10),0)*10</f>
        <v>5617400</v>
      </c>
      <c r="I43" s="103"/>
      <c r="K43" s="92" t="s">
        <v>93</v>
      </c>
    </row>
    <row r="44" spans="1:13" ht="15" customHeight="1" thickTop="1" x14ac:dyDescent="0.25">
      <c r="A44" s="28"/>
      <c r="B44" s="92" t="s">
        <v>94</v>
      </c>
      <c r="E44" s="104" t="s">
        <v>95</v>
      </c>
      <c r="F44" s="105" t="s">
        <v>96</v>
      </c>
      <c r="G44" s="104" t="s">
        <v>97</v>
      </c>
      <c r="H44" s="106"/>
      <c r="I44" s="107"/>
      <c r="K44" s="71" t="s">
        <v>98</v>
      </c>
      <c r="L44" s="108">
        <v>0.05</v>
      </c>
      <c r="M44" s="18">
        <f>200000*5%</f>
        <v>10000</v>
      </c>
    </row>
    <row r="45" spans="1:13" ht="15" customHeight="1" x14ac:dyDescent="0.25">
      <c r="A45" s="28"/>
      <c r="B45" s="109"/>
      <c r="C45" s="46" t="s">
        <v>99</v>
      </c>
      <c r="E45" s="26">
        <f>H43-E46</f>
        <v>2115000</v>
      </c>
      <c r="F45" s="110"/>
      <c r="G45" s="18">
        <f>IF(+I2="Sr",ROUND(IF(E45&gt;1000000,(((E45-1000000)*0.3)+110000),IF(E45&gt;500000,(((E45-500000)*0.2)+10000),IF(E45&gt;300000,((E45-300000)*0.05),0))),0),ROUND(IF(E45&gt;1000000,(((E45-1000000)*0.3)+112500),IF(E45&gt;500000,(((E45-500000)*0.2)+12500),IF(E45&gt;250000,((E45-250000)*0.05),0))),0))</f>
        <v>444500</v>
      </c>
      <c r="H45" s="106"/>
      <c r="I45" s="107"/>
      <c r="K45" s="71" t="s">
        <v>100</v>
      </c>
      <c r="L45" s="108">
        <v>0.2</v>
      </c>
      <c r="M45" s="18">
        <f>500000*20%</f>
        <v>100000</v>
      </c>
    </row>
    <row r="46" spans="1:13" ht="15" customHeight="1" x14ac:dyDescent="0.25">
      <c r="A46" s="28"/>
      <c r="B46" s="95" t="s">
        <v>101</v>
      </c>
      <c r="C46" s="46" t="s">
        <v>102</v>
      </c>
      <c r="E46" s="82">
        <f>+H29</f>
        <v>3502400</v>
      </c>
      <c r="F46" s="111">
        <v>0.1</v>
      </c>
      <c r="G46" s="96">
        <f>ROUND(E46*F46,0)</f>
        <v>350240</v>
      </c>
      <c r="H46" s="112"/>
      <c r="I46" s="113"/>
      <c r="K46" s="71" t="s">
        <v>103</v>
      </c>
      <c r="L46" s="108">
        <v>0.3</v>
      </c>
      <c r="M46" s="18">
        <f>ROUND((H43-1000000-E46)*30%,0)</f>
        <v>334500</v>
      </c>
    </row>
    <row r="47" spans="1:13" ht="15" customHeight="1" thickBot="1" x14ac:dyDescent="0.3">
      <c r="A47" s="28"/>
      <c r="D47" s="110"/>
      <c r="E47" s="17"/>
      <c r="G47" s="37">
        <f>G45+G46</f>
        <v>794740</v>
      </c>
      <c r="H47" s="114"/>
      <c r="I47" s="115"/>
      <c r="M47" s="116">
        <f>SUM(M44:M46)</f>
        <v>444500</v>
      </c>
    </row>
    <row r="48" spans="1:13" ht="15" customHeight="1" thickTop="1" x14ac:dyDescent="0.25">
      <c r="A48" s="28"/>
      <c r="B48" s="46" t="s">
        <v>104</v>
      </c>
      <c r="C48" s="46" t="s">
        <v>105</v>
      </c>
      <c r="D48" s="110"/>
      <c r="E48" s="17"/>
      <c r="G48" s="117"/>
      <c r="H48" s="118">
        <f>G47-G48</f>
        <v>794740</v>
      </c>
      <c r="I48" s="119"/>
    </row>
    <row r="49" spans="1:14" ht="15" customHeight="1" x14ac:dyDescent="0.25">
      <c r="A49" s="28"/>
      <c r="B49" s="18" t="s">
        <v>106</v>
      </c>
      <c r="C49" s="46"/>
      <c r="D49" s="110"/>
      <c r="E49" s="17"/>
      <c r="G49" s="120">
        <v>0.1</v>
      </c>
      <c r="H49" s="121">
        <f>IF(H43&gt;10000000,H48*15%,IF(H43&gt;5000000,H48*10%,0))</f>
        <v>79474</v>
      </c>
      <c r="I49" s="122"/>
    </row>
    <row r="50" spans="1:14" ht="15" customHeight="1" x14ac:dyDescent="0.25">
      <c r="A50" s="28"/>
      <c r="C50" s="46"/>
      <c r="D50" s="110"/>
      <c r="E50" s="17"/>
      <c r="G50" s="37"/>
      <c r="H50" s="118">
        <f>H48+H49</f>
        <v>874214</v>
      </c>
      <c r="I50" s="119"/>
    </row>
    <row r="51" spans="1:14" ht="15" customHeight="1" x14ac:dyDescent="0.25">
      <c r="A51" s="28"/>
      <c r="B51" s="46" t="s">
        <v>107</v>
      </c>
      <c r="D51" s="110"/>
      <c r="E51" s="17"/>
      <c r="G51" s="120">
        <v>0.04</v>
      </c>
      <c r="H51" s="121">
        <f>ROUND((H50)*0.04,0)</f>
        <v>34969</v>
      </c>
      <c r="I51" s="122"/>
      <c r="K51" s="123" t="s">
        <v>108</v>
      </c>
      <c r="L51" s="124"/>
      <c r="M51" s="125" t="s">
        <v>109</v>
      </c>
    </row>
    <row r="52" spans="1:14" ht="15" customHeight="1" x14ac:dyDescent="0.25">
      <c r="A52" s="28"/>
      <c r="B52" s="92" t="s">
        <v>110</v>
      </c>
      <c r="D52" s="110"/>
      <c r="E52" s="100"/>
      <c r="G52" s="17"/>
      <c r="H52" s="114">
        <f>SUM(H50:H51)</f>
        <v>909183</v>
      </c>
      <c r="I52" s="115"/>
      <c r="J52" s="81" t="s">
        <v>111</v>
      </c>
      <c r="K52" s="126" t="s">
        <v>112</v>
      </c>
      <c r="L52" s="124"/>
      <c r="M52" s="127">
        <v>84000</v>
      </c>
      <c r="N52" s="91" t="s">
        <v>113</v>
      </c>
    </row>
    <row r="53" spans="1:14" ht="15" customHeight="1" x14ac:dyDescent="0.3">
      <c r="A53" s="28"/>
      <c r="B53" s="46" t="s">
        <v>114</v>
      </c>
      <c r="D53" s="110"/>
      <c r="E53" s="128" t="s">
        <v>115</v>
      </c>
      <c r="G53" s="129"/>
      <c r="H53" s="114">
        <f>+H102</f>
        <v>13812</v>
      </c>
      <c r="I53" s="115"/>
      <c r="J53" s="81" t="s">
        <v>116</v>
      </c>
      <c r="K53" s="126" t="s">
        <v>117</v>
      </c>
      <c r="L53" s="124"/>
      <c r="M53" s="127">
        <v>80000</v>
      </c>
      <c r="N53" s="91"/>
    </row>
    <row r="54" spans="1:14" ht="15" customHeight="1" x14ac:dyDescent="0.25">
      <c r="A54" s="28"/>
      <c r="B54" s="46" t="s">
        <v>118</v>
      </c>
      <c r="C54" s="17"/>
      <c r="D54" s="17"/>
      <c r="E54" s="17"/>
      <c r="G54" s="129" t="s">
        <v>119</v>
      </c>
      <c r="H54" s="130"/>
      <c r="I54" s="131"/>
      <c r="K54" s="126" t="s">
        <v>120</v>
      </c>
      <c r="L54" s="124"/>
      <c r="M54" s="127">
        <v>10000</v>
      </c>
    </row>
    <row r="55" spans="1:14" ht="15" customHeight="1" x14ac:dyDescent="0.25">
      <c r="A55" s="28"/>
      <c r="B55" s="92" t="s">
        <v>121</v>
      </c>
      <c r="C55" s="17"/>
      <c r="D55" s="17"/>
      <c r="E55" s="17"/>
      <c r="F55" s="17"/>
      <c r="G55" s="17"/>
      <c r="H55" s="53">
        <f>H52+H53</f>
        <v>922995</v>
      </c>
      <c r="I55" s="33"/>
      <c r="J55" s="55"/>
      <c r="K55" s="132" t="s">
        <v>122</v>
      </c>
      <c r="L55" s="132"/>
      <c r="M55" s="132"/>
    </row>
    <row r="56" spans="1:14" ht="15" customHeight="1" x14ac:dyDescent="0.25">
      <c r="A56" s="28"/>
      <c r="B56" s="21" t="s">
        <v>123</v>
      </c>
      <c r="C56" s="17"/>
      <c r="D56" s="17"/>
      <c r="E56" s="17"/>
      <c r="F56" s="17"/>
      <c r="G56" s="17"/>
      <c r="H56" s="53"/>
      <c r="I56" s="33"/>
    </row>
    <row r="57" spans="1:14" ht="15" customHeight="1" x14ac:dyDescent="0.3">
      <c r="A57" s="28"/>
      <c r="B57" s="133">
        <v>44275</v>
      </c>
      <c r="C57" s="134" t="s">
        <v>124</v>
      </c>
      <c r="D57" s="134"/>
      <c r="E57" s="135"/>
      <c r="F57" s="135"/>
      <c r="G57" s="82">
        <v>67000</v>
      </c>
      <c r="H57" s="53"/>
      <c r="I57" s="33"/>
      <c r="K57" s="136" t="s">
        <v>125</v>
      </c>
      <c r="L57" s="78"/>
      <c r="M57" s="78"/>
    </row>
    <row r="58" spans="1:14" ht="15" customHeight="1" x14ac:dyDescent="0.3">
      <c r="A58" s="28"/>
      <c r="B58" s="137"/>
      <c r="C58" s="134" t="s">
        <v>126</v>
      </c>
      <c r="D58" s="134"/>
      <c r="E58" s="135" t="s">
        <v>127</v>
      </c>
      <c r="F58" s="138"/>
      <c r="G58" s="82">
        <v>305700</v>
      </c>
      <c r="H58" s="53"/>
      <c r="I58" s="33"/>
      <c r="K58" s="78" t="s">
        <v>128</v>
      </c>
      <c r="L58" s="78"/>
      <c r="M58" s="139">
        <f>+H10</f>
        <v>1827000</v>
      </c>
    </row>
    <row r="59" spans="1:14" ht="15" customHeight="1" x14ac:dyDescent="0.25">
      <c r="A59" s="28"/>
      <c r="B59" s="133">
        <v>44344</v>
      </c>
      <c r="C59" s="18" t="s">
        <v>129</v>
      </c>
      <c r="G59" s="82">
        <v>76000</v>
      </c>
      <c r="H59" s="53">
        <f>SUM(G57:G59)</f>
        <v>448700</v>
      </c>
      <c r="I59" s="33"/>
      <c r="K59" s="140" t="s">
        <v>130</v>
      </c>
      <c r="L59" s="78"/>
      <c r="M59" s="141">
        <f>+G37+G38+G39+G40</f>
        <v>214000</v>
      </c>
    </row>
    <row r="60" spans="1:14" ht="15" customHeight="1" thickBot="1" x14ac:dyDescent="0.3">
      <c r="A60" s="142"/>
      <c r="B60" s="143" t="str">
        <f>IF(H60=0,"TAX  PAYABLE / REFUND ",IF(H60&lt;0,"REFUND","TAX  PAYABLE including Interest"))</f>
        <v>TAX  PAYABLE including Interest</v>
      </c>
      <c r="C60" s="144"/>
      <c r="D60" s="145"/>
      <c r="E60" s="145"/>
      <c r="F60" s="146" t="s">
        <v>131</v>
      </c>
      <c r="G60" s="147"/>
      <c r="H60" s="148">
        <f>ROUND((H55-H59)/10,0)*10</f>
        <v>474300</v>
      </c>
      <c r="I60" s="149"/>
      <c r="K60" s="78"/>
      <c r="L60" s="78"/>
      <c r="M60" s="150">
        <f>M58-M59</f>
        <v>1613000</v>
      </c>
    </row>
    <row r="61" spans="1:14" ht="15" customHeight="1" x14ac:dyDescent="0.25">
      <c r="A61" s="151" t="s">
        <v>132</v>
      </c>
      <c r="B61" s="152"/>
      <c r="C61" s="152"/>
      <c r="D61" s="152"/>
      <c r="E61" s="152"/>
      <c r="F61" s="152"/>
      <c r="G61" s="152"/>
      <c r="H61" s="152"/>
      <c r="I61" s="153"/>
      <c r="K61" s="154" t="s">
        <v>133</v>
      </c>
      <c r="L61" s="78"/>
      <c r="M61" s="78">
        <f>110000+(M60-1000000)*0.3</f>
        <v>293900</v>
      </c>
    </row>
    <row r="62" spans="1:14" ht="15" customHeight="1" thickBot="1" x14ac:dyDescent="0.3">
      <c r="A62" s="155">
        <v>44499</v>
      </c>
      <c r="B62" s="156"/>
      <c r="C62" s="157" t="s">
        <v>134</v>
      </c>
      <c r="D62" s="158"/>
      <c r="E62" s="159" t="s">
        <v>135</v>
      </c>
      <c r="F62" s="160" t="s">
        <v>136</v>
      </c>
      <c r="G62" s="160"/>
      <c r="H62" s="160"/>
      <c r="I62" s="161"/>
      <c r="K62" s="154" t="s">
        <v>137</v>
      </c>
      <c r="L62" s="162"/>
      <c r="M62" s="78"/>
    </row>
    <row r="63" spans="1:14" ht="15" customHeight="1" x14ac:dyDescent="0.25">
      <c r="A63" s="163"/>
      <c r="B63" s="164"/>
      <c r="C63" s="164"/>
      <c r="D63" s="164"/>
      <c r="E63" s="164"/>
      <c r="F63" s="164"/>
      <c r="G63" s="164"/>
      <c r="H63" s="164"/>
      <c r="I63" s="164"/>
      <c r="K63" s="154" t="s">
        <v>138</v>
      </c>
      <c r="L63" s="162">
        <v>0.04</v>
      </c>
      <c r="M63" s="78">
        <f>ROUND((M62+M61)*0.04,0)</f>
        <v>11756</v>
      </c>
    </row>
    <row r="64" spans="1:14" ht="15" customHeight="1" thickBot="1" x14ac:dyDescent="0.3">
      <c r="A64" s="163"/>
      <c r="B64" s="18" t="s">
        <v>139</v>
      </c>
      <c r="C64" s="164"/>
      <c r="D64" s="164" t="s">
        <v>140</v>
      </c>
      <c r="E64" s="164" t="s">
        <v>141</v>
      </c>
      <c r="F64" s="46" t="s">
        <v>142</v>
      </c>
      <c r="G64" s="164"/>
      <c r="H64" s="165" t="s">
        <v>143</v>
      </c>
      <c r="I64" s="164"/>
      <c r="K64" s="78"/>
      <c r="L64" s="78"/>
      <c r="M64" s="166">
        <f>SUM(M61:M63)</f>
        <v>305656</v>
      </c>
    </row>
    <row r="65" spans="1:13" ht="15" customHeight="1" thickTop="1" x14ac:dyDescent="0.25">
      <c r="A65" s="167"/>
      <c r="B65" s="168" t="s">
        <v>144</v>
      </c>
      <c r="C65" s="84"/>
      <c r="D65" s="84" t="s">
        <v>145</v>
      </c>
      <c r="E65" s="84" t="s">
        <v>146</v>
      </c>
      <c r="F65" s="84" t="s">
        <v>147</v>
      </c>
      <c r="G65" s="84" t="s">
        <v>148</v>
      </c>
      <c r="H65" s="169" t="s">
        <v>149</v>
      </c>
      <c r="I65" s="164"/>
      <c r="L65" s="17" t="s">
        <v>150</v>
      </c>
      <c r="M65" s="26">
        <f>+G58</f>
        <v>305700</v>
      </c>
    </row>
    <row r="66" spans="1:13" ht="15" customHeight="1" x14ac:dyDescent="0.25">
      <c r="A66" s="163"/>
      <c r="B66" s="18" t="s">
        <v>151</v>
      </c>
      <c r="C66" s="164"/>
      <c r="D66" s="164" t="s">
        <v>152</v>
      </c>
      <c r="E66" s="164" t="s">
        <v>146</v>
      </c>
      <c r="F66" s="164" t="s">
        <v>147</v>
      </c>
      <c r="G66" s="164" t="s">
        <v>148</v>
      </c>
      <c r="H66" s="165" t="s">
        <v>149</v>
      </c>
      <c r="I66" s="164"/>
    </row>
    <row r="68" spans="1:13" ht="15" customHeight="1" x14ac:dyDescent="0.25">
      <c r="C68" s="170"/>
      <c r="F68" s="171" t="s">
        <v>153</v>
      </c>
      <c r="G68" s="172"/>
      <c r="H68" s="172"/>
    </row>
    <row r="69" spans="1:13" ht="15" customHeight="1" x14ac:dyDescent="0.25">
      <c r="C69" s="173"/>
      <c r="F69" s="174" t="s">
        <v>154</v>
      </c>
      <c r="G69" s="174"/>
      <c r="H69" s="175">
        <f>+G9</f>
        <v>1877000</v>
      </c>
    </row>
    <row r="70" spans="1:13" ht="15" customHeight="1" x14ac:dyDescent="0.25">
      <c r="C70" s="176"/>
      <c r="F70" s="177" t="s">
        <v>155</v>
      </c>
      <c r="G70" s="177"/>
      <c r="H70" s="26">
        <f>H22</f>
        <v>552000</v>
      </c>
    </row>
    <row r="71" spans="1:13" ht="15" customHeight="1" x14ac:dyDescent="0.25">
      <c r="C71" s="178"/>
      <c r="F71" s="177" t="s">
        <v>156</v>
      </c>
      <c r="G71" s="177"/>
      <c r="H71" s="26">
        <f>+H29</f>
        <v>3502400</v>
      </c>
    </row>
    <row r="72" spans="1:13" ht="15" customHeight="1" x14ac:dyDescent="0.25">
      <c r="F72" s="77" t="s">
        <v>157</v>
      </c>
      <c r="G72" s="77"/>
      <c r="H72" s="179">
        <f>+H33</f>
        <v>107910</v>
      </c>
    </row>
    <row r="73" spans="1:13" ht="15" customHeight="1" thickBot="1" x14ac:dyDescent="0.3">
      <c r="C73" s="17" t="s">
        <v>158</v>
      </c>
      <c r="D73" s="108">
        <v>0.1</v>
      </c>
      <c r="E73" s="17" t="s">
        <v>159</v>
      </c>
      <c r="F73" s="180"/>
      <c r="G73" s="181" t="s">
        <v>160</v>
      </c>
      <c r="H73" s="182">
        <f>SUM(H69:H72)</f>
        <v>6039310</v>
      </c>
    </row>
    <row r="74" spans="1:13" ht="15" customHeight="1" thickTop="1" x14ac:dyDescent="0.25">
      <c r="B74" s="26"/>
      <c r="C74" s="26">
        <f>H73-D74</f>
        <v>2536910</v>
      </c>
      <c r="D74" s="26">
        <f>+H71</f>
        <v>3502400</v>
      </c>
      <c r="E74" s="26">
        <f>+C74+D74</f>
        <v>6039310</v>
      </c>
    </row>
    <row r="75" spans="1:13" ht="15" customHeight="1" x14ac:dyDescent="0.25">
      <c r="C75" s="18">
        <f>112500+(C74-1000000)*30%</f>
        <v>573573</v>
      </c>
      <c r="D75" s="18">
        <f>D74*10%</f>
        <v>350240</v>
      </c>
      <c r="E75" s="183">
        <f>C75+D75</f>
        <v>923813</v>
      </c>
      <c r="F75" s="30" t="s">
        <v>133</v>
      </c>
    </row>
    <row r="76" spans="1:13" ht="15" customHeight="1" x14ac:dyDescent="0.25">
      <c r="E76" s="77">
        <f>ROUND(E75*0.1,0)</f>
        <v>92381</v>
      </c>
      <c r="F76" s="184" t="s">
        <v>161</v>
      </c>
    </row>
    <row r="77" spans="1:13" ht="15" customHeight="1" x14ac:dyDescent="0.25">
      <c r="E77" s="26">
        <f>E75+E76</f>
        <v>1016194</v>
      </c>
    </row>
    <row r="78" spans="1:13" ht="15" customHeight="1" x14ac:dyDescent="0.25">
      <c r="E78" s="18">
        <f>ROUND(E77*0.04,0)</f>
        <v>40648</v>
      </c>
      <c r="F78" s="30" t="s">
        <v>162</v>
      </c>
    </row>
    <row r="79" spans="1:13" ht="15" customHeight="1" thickBot="1" x14ac:dyDescent="0.3">
      <c r="E79" s="182">
        <f>SUM(E77:E78)</f>
        <v>1056842</v>
      </c>
      <c r="F79" s="185" t="s">
        <v>163</v>
      </c>
    </row>
    <row r="80" spans="1:13" ht="15" customHeight="1" thickTop="1" thickBot="1" x14ac:dyDescent="0.3"/>
    <row r="81" spans="2:10" ht="15" customHeight="1" x14ac:dyDescent="0.25">
      <c r="E81" s="186" t="s">
        <v>153</v>
      </c>
      <c r="F81" s="187"/>
      <c r="G81" s="188"/>
      <c r="H81" s="80"/>
    </row>
    <row r="82" spans="2:10" ht="15" customHeight="1" x14ac:dyDescent="0.25">
      <c r="E82" s="189" t="s">
        <v>164</v>
      </c>
      <c r="F82" s="66"/>
      <c r="G82" s="190" t="s">
        <v>34</v>
      </c>
      <c r="H82" s="80"/>
    </row>
    <row r="83" spans="2:10" ht="15" customHeight="1" x14ac:dyDescent="0.25">
      <c r="E83" s="189" t="s">
        <v>165</v>
      </c>
      <c r="F83" s="66"/>
      <c r="G83" s="191">
        <v>0.05</v>
      </c>
    </row>
    <row r="84" spans="2:10" ht="15" customHeight="1" x14ac:dyDescent="0.25">
      <c r="E84" s="189" t="s">
        <v>166</v>
      </c>
      <c r="F84" s="66"/>
      <c r="G84" s="191">
        <v>0.1</v>
      </c>
    </row>
    <row r="85" spans="2:10" ht="15" customHeight="1" x14ac:dyDescent="0.25">
      <c r="E85" s="189" t="s">
        <v>167</v>
      </c>
      <c r="F85" s="66"/>
      <c r="G85" s="191">
        <v>0.15</v>
      </c>
    </row>
    <row r="86" spans="2:10" ht="15" customHeight="1" x14ac:dyDescent="0.25">
      <c r="E86" s="189" t="s">
        <v>168</v>
      </c>
      <c r="F86" s="66"/>
      <c r="G86" s="191">
        <v>0.2</v>
      </c>
    </row>
    <row r="87" spans="2:10" ht="15" customHeight="1" x14ac:dyDescent="0.25">
      <c r="E87" s="189" t="s">
        <v>169</v>
      </c>
      <c r="F87" s="66"/>
      <c r="G87" s="191">
        <v>0.25</v>
      </c>
    </row>
    <row r="88" spans="2:10" ht="15" customHeight="1" x14ac:dyDescent="0.25">
      <c r="E88" s="189" t="s">
        <v>170</v>
      </c>
      <c r="F88" s="66"/>
      <c r="G88" s="191">
        <v>0.3</v>
      </c>
    </row>
    <row r="89" spans="2:10" ht="15" customHeight="1" x14ac:dyDescent="0.25">
      <c r="B89" s="192" t="s">
        <v>171</v>
      </c>
      <c r="C89" s="50" t="s">
        <v>172</v>
      </c>
      <c r="E89" s="193" t="s">
        <v>173</v>
      </c>
      <c r="F89" s="194"/>
      <c r="G89" s="195"/>
    </row>
    <row r="90" spans="2:10" ht="15" customHeight="1" x14ac:dyDescent="0.25">
      <c r="B90" s="192" t="s">
        <v>174</v>
      </c>
      <c r="C90" s="196" t="s">
        <v>175</v>
      </c>
      <c r="E90" s="197" t="s">
        <v>176</v>
      </c>
      <c r="F90" s="198"/>
      <c r="G90" s="199"/>
    </row>
    <row r="91" spans="2:10" ht="15" customHeight="1" x14ac:dyDescent="0.25">
      <c r="B91" s="200" t="s">
        <v>177</v>
      </c>
      <c r="C91" s="196" t="s">
        <v>178</v>
      </c>
      <c r="E91" s="201" t="s">
        <v>179</v>
      </c>
      <c r="F91" s="202"/>
      <c r="G91" s="203"/>
    </row>
    <row r="92" spans="2:10" ht="15" customHeight="1" thickBot="1" x14ac:dyDescent="0.3">
      <c r="B92" s="200" t="s">
        <v>180</v>
      </c>
      <c r="C92" s="196" t="s">
        <v>181</v>
      </c>
      <c r="E92" s="204" t="s">
        <v>182</v>
      </c>
      <c r="F92" s="205"/>
      <c r="G92" s="206"/>
    </row>
    <row r="94" spans="2:10" ht="15" customHeight="1" x14ac:dyDescent="0.25">
      <c r="B94" s="207" t="s">
        <v>183</v>
      </c>
    </row>
    <row r="95" spans="2:10" ht="15" customHeight="1" x14ac:dyDescent="0.25">
      <c r="B95" s="208" t="s">
        <v>184</v>
      </c>
      <c r="C95" s="209"/>
      <c r="D95" s="209"/>
      <c r="E95" s="209"/>
      <c r="F95" s="209"/>
      <c r="G95" s="209"/>
      <c r="H95" s="209"/>
      <c r="I95" s="209"/>
      <c r="J95" s="210"/>
    </row>
    <row r="96" spans="2:10" ht="15" customHeight="1" x14ac:dyDescent="0.25">
      <c r="B96" s="54" t="s">
        <v>185</v>
      </c>
      <c r="C96" s="211"/>
      <c r="D96" s="211"/>
      <c r="E96" s="175">
        <f>+H52</f>
        <v>909183</v>
      </c>
      <c r="F96" s="209"/>
      <c r="G96" s="211"/>
      <c r="H96" s="212" t="s">
        <v>186</v>
      </c>
      <c r="I96" s="209"/>
      <c r="J96" s="210"/>
    </row>
    <row r="97" spans="1:15" ht="15" customHeight="1" x14ac:dyDescent="0.25">
      <c r="B97" s="213" t="s">
        <v>187</v>
      </c>
      <c r="C97" s="211"/>
      <c r="D97" s="211"/>
      <c r="E97" s="175">
        <f>+G58*-1</f>
        <v>-305700</v>
      </c>
      <c r="F97" s="209"/>
      <c r="G97" s="214">
        <v>44409</v>
      </c>
      <c r="H97" s="215">
        <f>F102*1%</f>
        <v>4604</v>
      </c>
      <c r="I97" s="209"/>
      <c r="J97" s="210"/>
    </row>
    <row r="98" spans="1:15" ht="15" customHeight="1" x14ac:dyDescent="0.25">
      <c r="B98" s="213" t="s">
        <v>188</v>
      </c>
      <c r="C98" s="211"/>
      <c r="D98" s="211"/>
      <c r="E98" s="216">
        <f>+G57*-1</f>
        <v>-67000</v>
      </c>
      <c r="F98" s="209"/>
      <c r="G98" s="214">
        <v>44440</v>
      </c>
      <c r="H98" s="215">
        <f>+H97</f>
        <v>4604</v>
      </c>
      <c r="I98" s="217" t="s">
        <v>189</v>
      </c>
      <c r="J98" s="217"/>
      <c r="K98" s="218" t="s">
        <v>190</v>
      </c>
    </row>
    <row r="99" spans="1:15" ht="15" customHeight="1" x14ac:dyDescent="0.25">
      <c r="B99" s="213" t="s">
        <v>191</v>
      </c>
      <c r="C99" s="211"/>
      <c r="D99" s="211"/>
      <c r="E99" s="57">
        <f>+G59*-1</f>
        <v>-76000</v>
      </c>
      <c r="F99" s="209"/>
      <c r="G99" s="214">
        <v>44470</v>
      </c>
      <c r="H99" s="215">
        <f>+H98</f>
        <v>4604</v>
      </c>
      <c r="I99" s="209"/>
      <c r="J99" s="219" t="s">
        <v>192</v>
      </c>
      <c r="K99" s="220">
        <f>SUM(H97:H99)</f>
        <v>13812</v>
      </c>
    </row>
    <row r="100" spans="1:15" ht="15" customHeight="1" x14ac:dyDescent="0.25">
      <c r="C100" s="211"/>
      <c r="D100" s="211"/>
      <c r="E100" s="57"/>
      <c r="F100" s="209"/>
      <c r="G100" s="214">
        <v>44501</v>
      </c>
      <c r="H100" s="215"/>
      <c r="I100" s="209"/>
      <c r="J100" s="219" t="s">
        <v>193</v>
      </c>
      <c r="K100" s="220">
        <f>K99+F102*0.01</f>
        <v>18416</v>
      </c>
    </row>
    <row r="101" spans="1:15" ht="15" customHeight="1" thickBot="1" x14ac:dyDescent="0.3">
      <c r="B101" s="213"/>
      <c r="C101" s="211"/>
      <c r="D101" s="211"/>
      <c r="E101" s="221">
        <f>SUM(E96:E99)</f>
        <v>460483</v>
      </c>
      <c r="F101" s="209"/>
      <c r="G101" s="214">
        <v>44531</v>
      </c>
      <c r="H101" s="215"/>
      <c r="I101" s="209"/>
      <c r="J101" s="219" t="s">
        <v>194</v>
      </c>
      <c r="K101" s="220">
        <f>K100+F102*0.01</f>
        <v>23020</v>
      </c>
    </row>
    <row r="102" spans="1:15" ht="15" customHeight="1" thickTop="1" thickBot="1" x14ac:dyDescent="0.3">
      <c r="E102" s="175">
        <f>ROUNDDOWN(+E101,-2)</f>
        <v>460400</v>
      </c>
      <c r="F102" s="175">
        <f>ROUNDDOWN(E102,-2)</f>
        <v>460400</v>
      </c>
      <c r="G102" s="222"/>
      <c r="H102" s="223">
        <f>SUM(H97:H101)</f>
        <v>13812</v>
      </c>
      <c r="I102" s="209"/>
      <c r="J102" s="210"/>
    </row>
    <row r="103" spans="1:15" ht="15" customHeight="1" thickTop="1" x14ac:dyDescent="0.25">
      <c r="C103" s="211"/>
      <c r="D103" s="211"/>
      <c r="G103" s="209"/>
      <c r="H103" s="209"/>
      <c r="I103" s="209"/>
      <c r="J103" s="210"/>
    </row>
    <row r="104" spans="1:15" ht="15" customHeight="1" x14ac:dyDescent="0.25">
      <c r="A104" s="224"/>
      <c r="B104" s="225"/>
      <c r="C104" s="225"/>
      <c r="D104" s="225"/>
      <c r="E104" s="225"/>
      <c r="F104" s="225"/>
      <c r="G104" s="225"/>
      <c r="H104" s="225"/>
      <c r="I104" s="225"/>
      <c r="J104" s="225"/>
      <c r="K104" s="225"/>
      <c r="L104" s="225"/>
      <c r="M104" s="225"/>
      <c r="N104" s="225"/>
      <c r="O104" s="225"/>
    </row>
    <row r="106" spans="1:15" ht="15" customHeight="1" x14ac:dyDescent="0.25">
      <c r="B106" s="226" t="s">
        <v>195</v>
      </c>
      <c r="C106" s="227"/>
      <c r="D106" s="227"/>
      <c r="E106" s="227"/>
      <c r="F106" s="227"/>
      <c r="G106" s="228" t="s">
        <v>196</v>
      </c>
      <c r="H106" s="229">
        <f>+H118+H130+H140</f>
        <v>81328</v>
      </c>
      <c r="N106" s="230"/>
    </row>
    <row r="107" spans="1:15" ht="15" customHeight="1" x14ac:dyDescent="0.25">
      <c r="B107" s="208" t="s">
        <v>197</v>
      </c>
      <c r="C107" s="211"/>
      <c r="D107" s="211"/>
      <c r="E107" s="211"/>
      <c r="F107" s="211"/>
      <c r="G107" s="93"/>
      <c r="H107" s="231"/>
      <c r="M107" s="26"/>
      <c r="N107" s="230"/>
    </row>
    <row r="108" spans="1:15" ht="15" customHeight="1" x14ac:dyDescent="0.25">
      <c r="B108" s="54" t="s">
        <v>185</v>
      </c>
      <c r="C108" s="211"/>
      <c r="D108" s="211"/>
      <c r="E108" s="26">
        <f>+H52</f>
        <v>909183</v>
      </c>
      <c r="G108" s="175"/>
    </row>
    <row r="109" spans="1:15" ht="15" customHeight="1" x14ac:dyDescent="0.25">
      <c r="B109" s="54" t="s">
        <v>187</v>
      </c>
      <c r="C109" s="211"/>
      <c r="D109" s="211"/>
      <c r="E109" s="26">
        <f>+G58*-1</f>
        <v>-305700</v>
      </c>
      <c r="G109" s="175"/>
    </row>
    <row r="110" spans="1:15" ht="15" customHeight="1" thickBot="1" x14ac:dyDescent="0.3">
      <c r="B110" s="54" t="s">
        <v>198</v>
      </c>
      <c r="C110" s="211"/>
      <c r="D110" s="211"/>
      <c r="E110" s="180">
        <f>SUM(E108:E109)</f>
        <v>603483</v>
      </c>
      <c r="G110" s="175"/>
    </row>
    <row r="111" spans="1:15" ht="15" customHeight="1" thickTop="1" x14ac:dyDescent="0.25">
      <c r="C111" s="211"/>
      <c r="D111" s="211"/>
      <c r="E111" s="18">
        <f>+E110</f>
        <v>603483</v>
      </c>
      <c r="G111" s="183">
        <f>IF(G110&gt;10000,G110,0)</f>
        <v>0</v>
      </c>
      <c r="H111" s="18">
        <f>+H110</f>
        <v>0</v>
      </c>
    </row>
    <row r="112" spans="1:15" ht="19.8" customHeight="1" x14ac:dyDescent="0.25">
      <c r="B112" s="232" t="s">
        <v>199</v>
      </c>
      <c r="C112" s="233" t="s">
        <v>200</v>
      </c>
      <c r="D112" s="233" t="s">
        <v>201</v>
      </c>
      <c r="E112" s="233" t="s">
        <v>202</v>
      </c>
      <c r="F112" s="234" t="s">
        <v>203</v>
      </c>
      <c r="G112" s="235" t="s">
        <v>204</v>
      </c>
      <c r="H112" s="233" t="s">
        <v>186</v>
      </c>
    </row>
    <row r="113" spans="1:13" ht="15" customHeight="1" x14ac:dyDescent="0.25">
      <c r="A113" s="236">
        <v>1</v>
      </c>
      <c r="B113" s="237"/>
      <c r="C113" s="238"/>
      <c r="D113" s="237">
        <v>43997</v>
      </c>
      <c r="E113" s="175">
        <f>(E111*0.15)</f>
        <v>90522.45</v>
      </c>
      <c r="F113" s="175">
        <f>ROUNDDOWN(+E113,-2)</f>
        <v>90500</v>
      </c>
      <c r="G113" s="175">
        <f>(F113-C113)</f>
        <v>90500</v>
      </c>
      <c r="H113" s="215">
        <f>IF(G113&gt;0,G113*0.12/12*3,0)</f>
        <v>2715</v>
      </c>
      <c r="I113" s="239" t="s">
        <v>189</v>
      </c>
      <c r="J113" s="239"/>
      <c r="K113" s="240" t="s">
        <v>205</v>
      </c>
      <c r="M113" s="26"/>
    </row>
    <row r="114" spans="1:13" ht="15" customHeight="1" x14ac:dyDescent="0.25">
      <c r="A114" s="236">
        <v>2</v>
      </c>
      <c r="C114" s="238">
        <f>+G68</f>
        <v>0</v>
      </c>
      <c r="D114" s="237">
        <v>44089</v>
      </c>
      <c r="E114" s="175">
        <f>E111*0.45</f>
        <v>271567.35000000003</v>
      </c>
      <c r="F114" s="175">
        <f>ROUNDDOWN(+E114,-2)</f>
        <v>271500</v>
      </c>
      <c r="G114" s="175">
        <f>(F114-C114-C113)</f>
        <v>271500</v>
      </c>
      <c r="H114" s="215">
        <f>IF(G114&gt;0,G114*0.12/12*3,0)</f>
        <v>8145</v>
      </c>
      <c r="J114" s="241" t="s">
        <v>192</v>
      </c>
      <c r="K114" s="242">
        <f>+H118</f>
        <v>30472</v>
      </c>
      <c r="L114" s="18">
        <f>L112-L113</f>
        <v>0</v>
      </c>
    </row>
    <row r="115" spans="1:13" ht="15" customHeight="1" x14ac:dyDescent="0.25">
      <c r="A115" s="236">
        <v>3</v>
      </c>
      <c r="B115" s="237"/>
      <c r="C115" s="238"/>
      <c r="D115" s="237">
        <v>44180</v>
      </c>
      <c r="E115" s="175">
        <f>E111*0.75</f>
        <v>452612.25</v>
      </c>
      <c r="F115" s="175">
        <f>ROUNDDOWN(+E115,-2)</f>
        <v>452600</v>
      </c>
      <c r="G115" s="175">
        <f>(F115-(C113+C114+C115))</f>
        <v>452600</v>
      </c>
      <c r="H115" s="215">
        <f>IF(G115&gt;0,G115*0.12/12*3,0)</f>
        <v>13578</v>
      </c>
      <c r="J115" s="241" t="s">
        <v>193</v>
      </c>
      <c r="K115" s="242">
        <f>+K114</f>
        <v>30472</v>
      </c>
      <c r="L115" s="18">
        <f t="shared" ref="L115:L119" si="0">L113-L114</f>
        <v>0</v>
      </c>
    </row>
    <row r="116" spans="1:13" ht="15" customHeight="1" x14ac:dyDescent="0.25">
      <c r="A116" s="236">
        <v>4</v>
      </c>
      <c r="B116" s="237"/>
      <c r="C116" s="238"/>
      <c r="D116" s="237">
        <v>44270</v>
      </c>
      <c r="E116" s="175">
        <f>E111*1</f>
        <v>603483</v>
      </c>
      <c r="F116" s="175">
        <f>ROUNDDOWN(+E116,-2)</f>
        <v>603400</v>
      </c>
      <c r="G116" s="175">
        <f>(F116-(C113+C114+C115+C116))</f>
        <v>603400</v>
      </c>
      <c r="H116" s="215">
        <f>IF(G116&gt;0,G116*0.12/12,0)</f>
        <v>6034</v>
      </c>
      <c r="J116" s="241" t="s">
        <v>194</v>
      </c>
      <c r="K116" s="242">
        <f>+K114</f>
        <v>30472</v>
      </c>
      <c r="L116" s="18">
        <f t="shared" si="0"/>
        <v>0</v>
      </c>
    </row>
    <row r="117" spans="1:13" ht="15" customHeight="1" x14ac:dyDescent="0.25">
      <c r="A117" s="236">
        <v>5</v>
      </c>
      <c r="B117" s="237">
        <v>44275</v>
      </c>
      <c r="C117" s="238">
        <f>+G57</f>
        <v>67000</v>
      </c>
      <c r="D117" s="237">
        <v>44286</v>
      </c>
      <c r="F117" s="243"/>
      <c r="G117" s="244"/>
      <c r="H117" s="242"/>
      <c r="L117" s="18">
        <f t="shared" si="0"/>
        <v>0</v>
      </c>
    </row>
    <row r="118" spans="1:13" ht="15" customHeight="1" thickBot="1" x14ac:dyDescent="0.3">
      <c r="B118" s="211"/>
      <c r="C118" s="245">
        <f>SUM(C113:C117)</f>
        <v>67000</v>
      </c>
      <c r="D118" s="211"/>
      <c r="E118" s="211"/>
      <c r="F118" s="211"/>
      <c r="G118" s="211"/>
      <c r="H118" s="223">
        <f>SUM(H113:H117)</f>
        <v>30472</v>
      </c>
      <c r="J118" s="17"/>
      <c r="L118" s="18">
        <f t="shared" si="0"/>
        <v>0</v>
      </c>
    </row>
    <row r="119" spans="1:13" ht="15" customHeight="1" thickTop="1" thickBot="1" x14ac:dyDescent="0.3">
      <c r="A119" s="246"/>
      <c r="B119" s="247"/>
      <c r="C119" s="248"/>
      <c r="D119" s="247"/>
      <c r="E119" s="247"/>
      <c r="F119" s="247"/>
      <c r="G119" s="247"/>
      <c r="H119" s="247"/>
      <c r="J119" s="17"/>
      <c r="L119" s="18">
        <f t="shared" si="0"/>
        <v>0</v>
      </c>
    </row>
    <row r="120" spans="1:13" ht="15" customHeight="1" x14ac:dyDescent="0.25">
      <c r="B120" s="208" t="s">
        <v>206</v>
      </c>
      <c r="C120" s="249"/>
      <c r="D120" s="211"/>
      <c r="E120" s="211"/>
      <c r="F120" s="211"/>
      <c r="G120" s="211"/>
      <c r="H120" s="212" t="s">
        <v>186</v>
      </c>
      <c r="J120" s="17"/>
    </row>
    <row r="121" spans="1:13" ht="15" customHeight="1" x14ac:dyDescent="0.25">
      <c r="B121" s="54" t="s">
        <v>185</v>
      </c>
      <c r="C121" s="211"/>
      <c r="D121" s="211"/>
      <c r="E121" s="175">
        <f>+E108</f>
        <v>909183</v>
      </c>
      <c r="F121" s="211"/>
      <c r="G121" s="214">
        <v>44287</v>
      </c>
      <c r="H121" s="215">
        <f>F127*1%</f>
        <v>5364</v>
      </c>
      <c r="J121" s="17"/>
    </row>
    <row r="122" spans="1:13" ht="15" customHeight="1" x14ac:dyDescent="0.25">
      <c r="B122" s="213" t="s">
        <v>187</v>
      </c>
      <c r="C122" s="211"/>
      <c r="D122" s="211"/>
      <c r="E122" s="175">
        <f>+E109</f>
        <v>-305700</v>
      </c>
      <c r="F122" s="211"/>
      <c r="G122" s="214">
        <v>44317</v>
      </c>
      <c r="H122" s="215">
        <f>+H121</f>
        <v>5364</v>
      </c>
      <c r="J122" s="17"/>
    </row>
    <row r="123" spans="1:13" ht="15" customHeight="1" thickBot="1" x14ac:dyDescent="0.3">
      <c r="B123" s="213"/>
      <c r="C123" s="211"/>
      <c r="D123" s="211"/>
      <c r="E123" s="221">
        <f>E121+E122</f>
        <v>603483</v>
      </c>
      <c r="G123" s="214">
        <v>44348</v>
      </c>
      <c r="H123" s="215">
        <f>F131*1%</f>
        <v>5016</v>
      </c>
      <c r="J123" s="17"/>
    </row>
    <row r="124" spans="1:13" ht="15" customHeight="1" thickTop="1" x14ac:dyDescent="0.25">
      <c r="F124" s="211"/>
      <c r="G124" s="214">
        <v>44378</v>
      </c>
      <c r="H124" s="215">
        <f t="shared" ref="H124:H127" si="1">+H123</f>
        <v>5016</v>
      </c>
      <c r="J124" s="17"/>
    </row>
    <row r="125" spans="1:13" ht="15" customHeight="1" x14ac:dyDescent="0.25">
      <c r="B125" s="211" t="s">
        <v>207</v>
      </c>
      <c r="C125" s="249"/>
      <c r="D125" s="250">
        <v>0.9</v>
      </c>
      <c r="E125" s="251">
        <f>ROUND(E123*90%,0)</f>
        <v>543135</v>
      </c>
      <c r="F125" s="211"/>
      <c r="G125" s="214">
        <v>44409</v>
      </c>
      <c r="H125" s="215">
        <f t="shared" si="1"/>
        <v>5016</v>
      </c>
      <c r="J125" s="17"/>
    </row>
    <row r="126" spans="1:13" ht="15" customHeight="1" x14ac:dyDescent="0.25">
      <c r="B126" s="211" t="s">
        <v>208</v>
      </c>
      <c r="C126" s="249"/>
      <c r="D126" s="211"/>
      <c r="E126" s="175">
        <f>ROUND(+C118,0)</f>
        <v>67000</v>
      </c>
      <c r="F126" s="211"/>
      <c r="G126" s="214">
        <v>44440</v>
      </c>
      <c r="H126" s="215">
        <f t="shared" si="1"/>
        <v>5016</v>
      </c>
      <c r="I126" s="252" t="s">
        <v>189</v>
      </c>
      <c r="J126" s="252"/>
      <c r="K126" s="51" t="s">
        <v>209</v>
      </c>
    </row>
    <row r="127" spans="1:13" ht="15" customHeight="1" x14ac:dyDescent="0.25">
      <c r="B127" s="18" t="s">
        <v>210</v>
      </c>
      <c r="C127" s="249"/>
      <c r="D127" s="211"/>
      <c r="E127" s="175">
        <f>E123-E126</f>
        <v>536483</v>
      </c>
      <c r="F127" s="175">
        <f>ROUNDDOWN(E127,-2)</f>
        <v>536400</v>
      </c>
      <c r="G127" s="214">
        <v>44470</v>
      </c>
      <c r="H127" s="215">
        <f t="shared" si="1"/>
        <v>5016</v>
      </c>
      <c r="J127" s="168" t="s">
        <v>192</v>
      </c>
      <c r="K127" s="253">
        <f>+H130</f>
        <v>35808</v>
      </c>
    </row>
    <row r="128" spans="1:13" ht="15" customHeight="1" x14ac:dyDescent="0.25">
      <c r="B128" s="254">
        <f>+B59</f>
        <v>44344</v>
      </c>
      <c r="C128" s="211" t="s">
        <v>211</v>
      </c>
      <c r="D128" s="211"/>
      <c r="E128" s="255">
        <f>+G59</f>
        <v>76000</v>
      </c>
      <c r="F128" s="211"/>
      <c r="G128" s="214">
        <v>44501</v>
      </c>
      <c r="J128" s="168" t="s">
        <v>193</v>
      </c>
      <c r="K128" s="253">
        <f>K127+4585</f>
        <v>40393</v>
      </c>
    </row>
    <row r="129" spans="1:12" ht="15" customHeight="1" x14ac:dyDescent="0.25">
      <c r="C129" s="29" t="s">
        <v>212</v>
      </c>
      <c r="E129" s="255">
        <f>H118+H121+H122</f>
        <v>41200</v>
      </c>
      <c r="F129" s="211"/>
      <c r="G129" s="214">
        <v>44531</v>
      </c>
      <c r="H129" s="210"/>
      <c r="J129" s="168" t="s">
        <v>194</v>
      </c>
      <c r="K129" s="253">
        <f>K128+4585</f>
        <v>44978</v>
      </c>
    </row>
    <row r="130" spans="1:12" ht="15" customHeight="1" thickBot="1" x14ac:dyDescent="0.3">
      <c r="C130" s="54" t="s">
        <v>213</v>
      </c>
      <c r="E130" s="256">
        <f>E128-E129</f>
        <v>34800</v>
      </c>
      <c r="F130" s="211"/>
      <c r="G130" s="211"/>
      <c r="H130" s="223">
        <f>SUM(H121:H129)</f>
        <v>35808</v>
      </c>
      <c r="J130" s="17"/>
    </row>
    <row r="131" spans="1:12" ht="15" customHeight="1" thickTop="1" x14ac:dyDescent="0.25">
      <c r="B131" s="18" t="s">
        <v>214</v>
      </c>
      <c r="C131" s="54"/>
      <c r="E131" s="216">
        <f>E127-E130</f>
        <v>501683</v>
      </c>
      <c r="F131" s="175">
        <f>ROUNDDOWN(E131,-2)</f>
        <v>501600</v>
      </c>
      <c r="G131" s="211"/>
      <c r="H131" s="210"/>
      <c r="J131" s="17"/>
    </row>
    <row r="132" spans="1:12" ht="15" customHeight="1" thickBot="1" x14ac:dyDescent="0.3">
      <c r="A132" s="246"/>
      <c r="B132" s="257"/>
      <c r="C132" s="258"/>
      <c r="D132" s="257"/>
      <c r="E132" s="259"/>
      <c r="F132" s="260"/>
      <c r="G132" s="247"/>
      <c r="H132" s="261"/>
      <c r="J132" s="17"/>
    </row>
    <row r="133" spans="1:12" ht="15" customHeight="1" x14ac:dyDescent="0.25">
      <c r="B133" s="208" t="s">
        <v>184</v>
      </c>
      <c r="C133" s="209"/>
      <c r="D133" s="209"/>
      <c r="E133" s="209"/>
      <c r="F133" s="209"/>
      <c r="G133" s="209"/>
      <c r="H133" s="209"/>
      <c r="I133" s="209"/>
      <c r="J133" s="210"/>
    </row>
    <row r="134" spans="1:12" ht="15" customHeight="1" x14ac:dyDescent="0.25">
      <c r="B134" s="54" t="s">
        <v>185</v>
      </c>
      <c r="C134" s="211"/>
      <c r="D134" s="211"/>
      <c r="E134" s="175">
        <f>+E121</f>
        <v>909183</v>
      </c>
      <c r="F134" s="209"/>
      <c r="G134" s="211"/>
      <c r="H134" s="212" t="s">
        <v>186</v>
      </c>
      <c r="I134" s="209"/>
      <c r="J134" s="210"/>
    </row>
    <row r="135" spans="1:12" ht="15" customHeight="1" x14ac:dyDescent="0.25">
      <c r="B135" s="213" t="s">
        <v>187</v>
      </c>
      <c r="C135" s="211"/>
      <c r="D135" s="211"/>
      <c r="E135" s="175">
        <f>+E122</f>
        <v>-305700</v>
      </c>
      <c r="F135" s="209"/>
      <c r="G135" s="214">
        <v>44409</v>
      </c>
      <c r="H135" s="215">
        <f>F141*1%</f>
        <v>5016</v>
      </c>
      <c r="I135" s="209"/>
      <c r="J135" s="210"/>
    </row>
    <row r="136" spans="1:12" ht="15" customHeight="1" x14ac:dyDescent="0.25">
      <c r="B136" s="213" t="s">
        <v>188</v>
      </c>
      <c r="C136" s="211"/>
      <c r="D136" s="211"/>
      <c r="E136" s="216">
        <f>+G57*-1</f>
        <v>-67000</v>
      </c>
      <c r="F136" s="209"/>
      <c r="G136" s="214">
        <v>44440</v>
      </c>
      <c r="H136" s="215">
        <f>+H135</f>
        <v>5016</v>
      </c>
      <c r="I136" s="217" t="s">
        <v>189</v>
      </c>
      <c r="J136" s="217"/>
      <c r="K136" s="218" t="s">
        <v>190</v>
      </c>
    </row>
    <row r="137" spans="1:12" ht="15" customHeight="1" x14ac:dyDescent="0.25">
      <c r="B137" s="213" t="s">
        <v>215</v>
      </c>
      <c r="C137" s="211"/>
      <c r="D137" s="211"/>
      <c r="E137" s="57">
        <f>+H118</f>
        <v>30472</v>
      </c>
      <c r="F137" s="209"/>
      <c r="G137" s="214">
        <v>44470</v>
      </c>
      <c r="H137" s="215">
        <f>+H136</f>
        <v>5016</v>
      </c>
      <c r="I137" s="209"/>
      <c r="J137" s="219" t="s">
        <v>192</v>
      </c>
      <c r="K137" s="220">
        <f>SUM(H135:H137)</f>
        <v>15048</v>
      </c>
    </row>
    <row r="138" spans="1:12" ht="15" customHeight="1" x14ac:dyDescent="0.25">
      <c r="B138" s="213" t="s">
        <v>191</v>
      </c>
      <c r="C138" s="211"/>
      <c r="D138" s="211"/>
      <c r="E138" s="57">
        <f>+G59*-1</f>
        <v>-76000</v>
      </c>
      <c r="F138" s="209"/>
      <c r="G138" s="214">
        <v>44501</v>
      </c>
      <c r="H138" s="215"/>
      <c r="I138" s="209"/>
      <c r="J138" s="219" t="s">
        <v>193</v>
      </c>
      <c r="K138" s="220">
        <f>K137+4585</f>
        <v>19633</v>
      </c>
    </row>
    <row r="139" spans="1:12" ht="15" customHeight="1" x14ac:dyDescent="0.25">
      <c r="B139" s="213" t="s">
        <v>216</v>
      </c>
      <c r="C139" s="211"/>
      <c r="D139" s="211"/>
      <c r="E139" s="26">
        <f>+H121+H122</f>
        <v>10728</v>
      </c>
      <c r="F139" s="209"/>
      <c r="G139" s="214">
        <v>44531</v>
      </c>
      <c r="H139" s="215"/>
      <c r="I139" s="209"/>
      <c r="J139" s="219" t="s">
        <v>194</v>
      </c>
      <c r="K139" s="220">
        <f>K138+4585</f>
        <v>24218</v>
      </c>
    </row>
    <row r="140" spans="1:12" ht="15" customHeight="1" thickBot="1" x14ac:dyDescent="0.3">
      <c r="E140" s="221">
        <f>SUM(E134:E139)</f>
        <v>501683</v>
      </c>
      <c r="F140" s="209"/>
      <c r="G140" s="222"/>
      <c r="H140" s="223">
        <f>SUM(H135:H139)</f>
        <v>15048</v>
      </c>
      <c r="I140" s="209"/>
      <c r="J140" s="210"/>
    </row>
    <row r="141" spans="1:12" ht="15" customHeight="1" thickTop="1" x14ac:dyDescent="0.25">
      <c r="C141" s="211"/>
      <c r="D141" s="211"/>
      <c r="E141" s="175">
        <f>ROUNDDOWN(+E140,-2)</f>
        <v>501600</v>
      </c>
      <c r="F141" s="175">
        <f>ROUNDDOWN(E141,-2)</f>
        <v>501600</v>
      </c>
      <c r="G141" s="209"/>
      <c r="H141" s="209"/>
      <c r="I141" s="209"/>
      <c r="J141" s="210"/>
    </row>
    <row r="142" spans="1:12" ht="15" customHeight="1" x14ac:dyDescent="0.25">
      <c r="C142" s="211"/>
      <c r="D142" s="211"/>
      <c r="E142" s="175"/>
      <c r="F142" s="175"/>
      <c r="G142" s="209"/>
      <c r="H142" s="209"/>
      <c r="I142" s="209"/>
      <c r="J142" s="210"/>
    </row>
    <row r="143" spans="1:12" ht="15" customHeight="1" thickBot="1" x14ac:dyDescent="0.3">
      <c r="C143" s="211"/>
      <c r="D143" s="211"/>
      <c r="E143" s="175"/>
      <c r="F143" s="209"/>
      <c r="G143" s="209"/>
      <c r="H143" s="209"/>
      <c r="I143" s="209"/>
      <c r="J143" s="210"/>
    </row>
    <row r="144" spans="1:12" s="46" customFormat="1" ht="15" customHeight="1" x14ac:dyDescent="0.25">
      <c r="A144" s="262" t="s">
        <v>217</v>
      </c>
      <c r="B144" s="263"/>
      <c r="C144" s="263"/>
      <c r="D144" s="263"/>
      <c r="E144" s="263"/>
      <c r="F144" s="263"/>
      <c r="G144" s="264" t="s">
        <v>218</v>
      </c>
      <c r="H144" s="265"/>
      <c r="J144" s="55"/>
      <c r="K144" s="266"/>
      <c r="L144" s="54"/>
    </row>
    <row r="145" spans="1:12" s="46" customFormat="1" ht="15" customHeight="1" x14ac:dyDescent="0.25">
      <c r="A145" s="267" t="s">
        <v>219</v>
      </c>
      <c r="H145" s="107"/>
      <c r="J145" s="55"/>
      <c r="K145" s="268"/>
      <c r="L145" s="54"/>
    </row>
    <row r="146" spans="1:12" s="46" customFormat="1" ht="15" customHeight="1" x14ac:dyDescent="0.25">
      <c r="A146" s="267" t="s">
        <v>220</v>
      </c>
      <c r="H146" s="107"/>
      <c r="J146" s="55"/>
      <c r="K146" s="268"/>
      <c r="L146" s="54"/>
    </row>
    <row r="147" spans="1:12" s="46" customFormat="1" ht="15" customHeight="1" x14ac:dyDescent="0.2">
      <c r="A147" s="269" t="s">
        <v>221</v>
      </c>
      <c r="B147" s="270" t="s">
        <v>222</v>
      </c>
      <c r="C147" s="270"/>
      <c r="D147" s="270"/>
      <c r="E147" s="270"/>
      <c r="F147" s="270"/>
      <c r="G147" s="270"/>
      <c r="H147" s="271"/>
      <c r="I147" s="30"/>
      <c r="J147" s="55"/>
      <c r="K147" s="272" t="s">
        <v>223</v>
      </c>
      <c r="L147" s="54"/>
    </row>
    <row r="148" spans="1:12" s="46" customFormat="1" ht="26.25" customHeight="1" x14ac:dyDescent="0.2">
      <c r="A148" s="269" t="s">
        <v>224</v>
      </c>
      <c r="B148" s="270" t="s">
        <v>225</v>
      </c>
      <c r="C148" s="270"/>
      <c r="D148" s="270"/>
      <c r="E148" s="270"/>
      <c r="F148" s="270"/>
      <c r="G148" s="270"/>
      <c r="H148" s="271"/>
      <c r="I148" s="30"/>
      <c r="J148" s="55"/>
      <c r="K148" s="272" t="s">
        <v>226</v>
      </c>
      <c r="L148" s="54"/>
    </row>
    <row r="149" spans="1:12" s="46" customFormat="1" ht="26.25" customHeight="1" x14ac:dyDescent="0.2">
      <c r="A149" s="269" t="s">
        <v>227</v>
      </c>
      <c r="B149" s="270" t="s">
        <v>228</v>
      </c>
      <c r="C149" s="270"/>
      <c r="D149" s="270"/>
      <c r="E149" s="270"/>
      <c r="F149" s="270"/>
      <c r="G149" s="270"/>
      <c r="H149" s="271"/>
      <c r="I149" s="30"/>
      <c r="J149" s="55"/>
      <c r="K149" s="272" t="s">
        <v>229</v>
      </c>
      <c r="L149" s="54"/>
    </row>
    <row r="150" spans="1:12" s="46" customFormat="1" ht="26.25" customHeight="1" x14ac:dyDescent="0.2">
      <c r="A150" s="269" t="s">
        <v>230</v>
      </c>
      <c r="B150" s="270" t="s">
        <v>231</v>
      </c>
      <c r="C150" s="270"/>
      <c r="D150" s="270"/>
      <c r="E150" s="270"/>
      <c r="F150" s="270"/>
      <c r="G150" s="270"/>
      <c r="H150" s="271"/>
      <c r="I150" s="30"/>
      <c r="J150" s="55"/>
      <c r="K150" s="272" t="s">
        <v>232</v>
      </c>
      <c r="L150" s="54"/>
    </row>
    <row r="151" spans="1:12" s="46" customFormat="1" ht="15" customHeight="1" x14ac:dyDescent="0.2">
      <c r="A151" s="269" t="s">
        <v>233</v>
      </c>
      <c r="B151" s="270" t="s">
        <v>234</v>
      </c>
      <c r="C151" s="270"/>
      <c r="D151" s="270"/>
      <c r="E151" s="270"/>
      <c r="F151" s="270"/>
      <c r="G151" s="270"/>
      <c r="H151" s="271"/>
      <c r="I151" s="30"/>
      <c r="J151" s="55"/>
      <c r="K151" s="272" t="s">
        <v>235</v>
      </c>
      <c r="L151" s="54"/>
    </row>
    <row r="152" spans="1:12" s="46" customFormat="1" ht="15" customHeight="1" x14ac:dyDescent="0.2">
      <c r="A152" s="269" t="s">
        <v>236</v>
      </c>
      <c r="B152" s="270" t="s">
        <v>237</v>
      </c>
      <c r="C152" s="270"/>
      <c r="D152" s="270"/>
      <c r="E152" s="270"/>
      <c r="F152" s="270"/>
      <c r="G152" s="270"/>
      <c r="H152" s="271"/>
      <c r="I152" s="30"/>
      <c r="J152" s="55"/>
      <c r="K152" s="272" t="s">
        <v>238</v>
      </c>
      <c r="L152" s="54"/>
    </row>
    <row r="153" spans="1:12" s="46" customFormat="1" ht="25.5" customHeight="1" x14ac:dyDescent="0.2">
      <c r="A153" s="273"/>
      <c r="B153" s="274" t="s">
        <v>239</v>
      </c>
      <c r="C153" s="274"/>
      <c r="D153" s="274"/>
      <c r="E153" s="274"/>
      <c r="F153" s="274"/>
      <c r="G153" s="274"/>
      <c r="H153" s="275"/>
      <c r="J153" s="55"/>
    </row>
    <row r="154" spans="1:12" s="46" customFormat="1" ht="15" customHeight="1" thickBot="1" x14ac:dyDescent="0.25">
      <c r="A154" s="276"/>
      <c r="B154" s="277" t="s">
        <v>240</v>
      </c>
      <c r="C154" s="277"/>
      <c r="D154" s="277"/>
      <c r="E154" s="277"/>
      <c r="F154" s="277"/>
      <c r="G154" s="277"/>
      <c r="H154" s="278"/>
      <c r="J154" s="55"/>
    </row>
    <row r="155" spans="1:12" s="46" customFormat="1" ht="15" customHeight="1" thickBot="1" x14ac:dyDescent="0.25">
      <c r="A155" s="279"/>
      <c r="B155" s="280"/>
      <c r="C155" s="280"/>
      <c r="D155" s="280"/>
      <c r="E155" s="280"/>
      <c r="F155" s="280"/>
      <c r="G155" s="280"/>
      <c r="J155" s="55"/>
    </row>
    <row r="156" spans="1:12" s="46" customFormat="1" ht="15" customHeight="1" x14ac:dyDescent="0.25">
      <c r="A156" s="262" t="s">
        <v>217</v>
      </c>
      <c r="B156" s="281"/>
      <c r="C156" s="281"/>
      <c r="D156" s="281"/>
      <c r="E156" s="281"/>
      <c r="F156" s="281"/>
      <c r="G156" s="282" t="s">
        <v>241</v>
      </c>
      <c r="H156" s="283"/>
      <c r="J156" s="55"/>
    </row>
    <row r="157" spans="1:12" ht="15" customHeight="1" x14ac:dyDescent="0.25">
      <c r="A157" s="267" t="s">
        <v>242</v>
      </c>
      <c r="F157" s="284"/>
      <c r="G157" s="37"/>
      <c r="H157" s="113"/>
      <c r="J157" s="55"/>
    </row>
    <row r="158" spans="1:12" ht="15" customHeight="1" x14ac:dyDescent="0.25">
      <c r="A158" s="267" t="s">
        <v>243</v>
      </c>
      <c r="F158" s="284"/>
      <c r="G158" s="37"/>
      <c r="H158" s="113"/>
      <c r="J158" s="55"/>
    </row>
    <row r="159" spans="1:12" ht="15" customHeight="1" x14ac:dyDescent="0.25">
      <c r="A159" s="28"/>
      <c r="B159" s="46" t="s">
        <v>244</v>
      </c>
      <c r="D159" s="46" t="s">
        <v>245</v>
      </c>
      <c r="F159" s="284"/>
      <c r="G159" s="37"/>
      <c r="H159" s="113"/>
      <c r="J159" s="55"/>
    </row>
    <row r="160" spans="1:12" ht="15" customHeight="1" x14ac:dyDescent="0.25">
      <c r="A160" s="28"/>
      <c r="B160" s="46" t="s">
        <v>246</v>
      </c>
      <c r="D160" s="46" t="s">
        <v>247</v>
      </c>
      <c r="F160" s="284"/>
      <c r="G160" s="37"/>
      <c r="H160" s="113"/>
      <c r="J160" s="55"/>
    </row>
    <row r="161" spans="1:10" ht="15" customHeight="1" x14ac:dyDescent="0.25">
      <c r="A161" s="28"/>
      <c r="B161" s="46" t="s">
        <v>248</v>
      </c>
      <c r="D161" s="46" t="s">
        <v>249</v>
      </c>
      <c r="F161" s="284"/>
      <c r="G161" s="37"/>
      <c r="H161" s="113"/>
      <c r="J161" s="55"/>
    </row>
    <row r="162" spans="1:10" ht="15" customHeight="1" x14ac:dyDescent="0.25">
      <c r="A162" s="28"/>
      <c r="B162" s="29" t="s">
        <v>250</v>
      </c>
      <c r="D162" s="46" t="s">
        <v>251</v>
      </c>
      <c r="F162" s="284"/>
      <c r="G162" s="37"/>
      <c r="H162" s="113"/>
      <c r="J162" s="55"/>
    </row>
    <row r="163" spans="1:10" ht="15" customHeight="1" x14ac:dyDescent="0.25">
      <c r="A163" s="28"/>
      <c r="B163" s="46" t="s">
        <v>252</v>
      </c>
      <c r="D163" s="46" t="s">
        <v>253</v>
      </c>
      <c r="F163" s="284"/>
      <c r="G163" s="37"/>
      <c r="H163" s="113"/>
      <c r="J163" s="55"/>
    </row>
    <row r="164" spans="1:10" ht="15" customHeight="1" x14ac:dyDescent="0.25">
      <c r="A164" s="28"/>
      <c r="B164" s="46" t="s">
        <v>254</v>
      </c>
      <c r="D164" s="46" t="s">
        <v>255</v>
      </c>
      <c r="F164" s="284"/>
      <c r="G164" s="37"/>
      <c r="H164" s="113"/>
      <c r="J164" s="17"/>
    </row>
    <row r="165" spans="1:10" ht="15" customHeight="1" x14ac:dyDescent="0.25">
      <c r="A165" s="28"/>
      <c r="B165" s="29" t="s">
        <v>256</v>
      </c>
      <c r="D165" s="46" t="s">
        <v>257</v>
      </c>
      <c r="F165" s="284"/>
      <c r="G165" s="37"/>
      <c r="H165" s="113"/>
      <c r="J165" s="17"/>
    </row>
    <row r="166" spans="1:10" ht="15" customHeight="1" thickBot="1" x14ac:dyDescent="0.3">
      <c r="A166" s="285"/>
      <c r="B166" s="286" t="s">
        <v>258</v>
      </c>
      <c r="C166" s="257"/>
      <c r="D166" s="286" t="s">
        <v>259</v>
      </c>
      <c r="E166" s="257"/>
      <c r="F166" s="257"/>
      <c r="G166" s="257"/>
      <c r="H166" s="287"/>
      <c r="J166" s="17"/>
    </row>
    <row r="167" spans="1:10" ht="15" customHeight="1" thickBot="1" x14ac:dyDescent="0.3">
      <c r="J167" s="17"/>
    </row>
    <row r="168" spans="1:10" ht="15" customHeight="1" x14ac:dyDescent="0.25">
      <c r="B168" s="288" t="s">
        <v>260</v>
      </c>
      <c r="C168" s="289"/>
      <c r="D168" s="290"/>
      <c r="E168" s="291" t="s">
        <v>261</v>
      </c>
      <c r="F168" s="292"/>
      <c r="G168" s="291" t="s">
        <v>262</v>
      </c>
      <c r="H168" s="293"/>
      <c r="J168" s="17"/>
    </row>
    <row r="169" spans="1:10" ht="15" customHeight="1" x14ac:dyDescent="0.25">
      <c r="B169" s="294" t="s">
        <v>263</v>
      </c>
      <c r="C169" s="211"/>
      <c r="D169" s="212"/>
      <c r="E169" s="71" t="s">
        <v>264</v>
      </c>
      <c r="G169" s="71" t="s">
        <v>265</v>
      </c>
      <c r="H169" s="113"/>
      <c r="J169" s="17"/>
    </row>
    <row r="170" spans="1:10" ht="15" customHeight="1" x14ac:dyDescent="0.25">
      <c r="B170" s="294" t="s">
        <v>266</v>
      </c>
      <c r="C170" s="211"/>
      <c r="D170" s="212"/>
      <c r="E170" s="71" t="s">
        <v>267</v>
      </c>
      <c r="G170" s="71" t="s">
        <v>268</v>
      </c>
      <c r="H170" s="113"/>
      <c r="J170" s="17"/>
    </row>
    <row r="171" spans="1:10" ht="15" customHeight="1" x14ac:dyDescent="0.25">
      <c r="B171" s="294" t="s">
        <v>144</v>
      </c>
      <c r="C171" s="211"/>
      <c r="D171" s="212"/>
      <c r="E171" s="71" t="s">
        <v>269</v>
      </c>
      <c r="H171" s="113"/>
      <c r="J171" s="17"/>
    </row>
    <row r="172" spans="1:10" ht="15" customHeight="1" x14ac:dyDescent="0.25">
      <c r="B172" s="294" t="s">
        <v>270</v>
      </c>
      <c r="C172" s="211"/>
      <c r="D172" s="212"/>
      <c r="E172" s="71" t="s">
        <v>271</v>
      </c>
      <c r="H172" s="113"/>
      <c r="J172" s="17"/>
    </row>
    <row r="173" spans="1:10" ht="15" customHeight="1" x14ac:dyDescent="0.25">
      <c r="B173" s="294" t="s">
        <v>272</v>
      </c>
      <c r="C173" s="211"/>
      <c r="D173" s="212"/>
      <c r="H173" s="113"/>
      <c r="J173" s="17"/>
    </row>
    <row r="174" spans="1:10" ht="15" customHeight="1" x14ac:dyDescent="0.25">
      <c r="B174" s="294" t="s">
        <v>273</v>
      </c>
      <c r="C174" s="211"/>
      <c r="D174" s="212"/>
      <c r="H174" s="113"/>
      <c r="J174" s="17"/>
    </row>
    <row r="175" spans="1:10" ht="15" customHeight="1" x14ac:dyDescent="0.25">
      <c r="B175" s="294" t="s">
        <v>274</v>
      </c>
      <c r="C175" s="211"/>
      <c r="D175" s="295">
        <f>SUM(C169:C175)</f>
        <v>0</v>
      </c>
      <c r="H175" s="113"/>
      <c r="J175" s="17"/>
    </row>
    <row r="176" spans="1:10" ht="15" customHeight="1" x14ac:dyDescent="0.25">
      <c r="B176" s="296" t="s">
        <v>275</v>
      </c>
      <c r="C176" s="211"/>
      <c r="E176" s="297"/>
      <c r="H176" s="113"/>
      <c r="J176" s="17"/>
    </row>
    <row r="177" spans="2:11" ht="15" customHeight="1" x14ac:dyDescent="0.25">
      <c r="B177" s="294" t="s">
        <v>276</v>
      </c>
      <c r="C177" s="298"/>
      <c r="H177" s="113"/>
      <c r="J177" s="17"/>
    </row>
    <row r="178" spans="2:11" ht="15" customHeight="1" x14ac:dyDescent="0.25">
      <c r="B178" s="294" t="s">
        <v>277</v>
      </c>
      <c r="C178" s="298"/>
      <c r="H178" s="113"/>
      <c r="J178" s="17"/>
    </row>
    <row r="179" spans="2:11" ht="15" customHeight="1" x14ac:dyDescent="0.25">
      <c r="B179" s="294" t="s">
        <v>278</v>
      </c>
      <c r="C179" s="298"/>
      <c r="D179" s="18">
        <f>SUM(C177:C179)</f>
        <v>0</v>
      </c>
      <c r="H179" s="113"/>
      <c r="J179" s="17"/>
    </row>
    <row r="180" spans="2:11" ht="15" customHeight="1" thickBot="1" x14ac:dyDescent="0.3">
      <c r="B180" s="299" t="s">
        <v>279</v>
      </c>
      <c r="C180" s="300"/>
      <c r="D180" s="301"/>
      <c r="E180" s="257"/>
      <c r="F180" s="257"/>
      <c r="G180" s="257"/>
      <c r="H180" s="287"/>
      <c r="J180" s="17"/>
    </row>
    <row r="181" spans="2:11" ht="15" customHeight="1" x14ac:dyDescent="0.25">
      <c r="D181" s="92">
        <f>D175+D179+D180</f>
        <v>0</v>
      </c>
      <c r="J181" s="17"/>
    </row>
    <row r="182" spans="2:11" ht="15" customHeight="1" x14ac:dyDescent="0.25">
      <c r="F182" s="175"/>
      <c r="G182" s="175"/>
      <c r="H182" s="175"/>
      <c r="I182" s="215"/>
      <c r="J182" s="55"/>
      <c r="K182" s="177">
        <f>H182*0.03</f>
        <v>0</v>
      </c>
    </row>
    <row r="183" spans="2:11" ht="15" customHeight="1" x14ac:dyDescent="0.25">
      <c r="H183" s="26"/>
      <c r="K183" s="177"/>
    </row>
    <row r="185" spans="2:11" ht="15" customHeight="1" x14ac:dyDescent="0.25">
      <c r="H185" s="26"/>
    </row>
  </sheetData>
  <mergeCells count="31">
    <mergeCell ref="G156:H156"/>
    <mergeCell ref="B149:H149"/>
    <mergeCell ref="B150:H150"/>
    <mergeCell ref="B151:H151"/>
    <mergeCell ref="B152:H152"/>
    <mergeCell ref="B153:H153"/>
    <mergeCell ref="B154:G154"/>
    <mergeCell ref="I113:J113"/>
    <mergeCell ref="I126:J126"/>
    <mergeCell ref="I136:J136"/>
    <mergeCell ref="G144:H144"/>
    <mergeCell ref="B147:H147"/>
    <mergeCell ref="B148:H148"/>
    <mergeCell ref="E81:G81"/>
    <mergeCell ref="E89:G89"/>
    <mergeCell ref="E90:G90"/>
    <mergeCell ref="E91:G91"/>
    <mergeCell ref="E92:G92"/>
    <mergeCell ref="I98:J98"/>
    <mergeCell ref="K55:M55"/>
    <mergeCell ref="C57:D57"/>
    <mergeCell ref="C58:D58"/>
    <mergeCell ref="A61:I61"/>
    <mergeCell ref="A62:B62"/>
    <mergeCell ref="F62:I62"/>
    <mergeCell ref="A1:C1"/>
    <mergeCell ref="D1:H1"/>
    <mergeCell ref="J1:M1"/>
    <mergeCell ref="A2:C2"/>
    <mergeCell ref="F2:G2"/>
    <mergeCell ref="C28:E28"/>
  </mergeCells>
  <conditionalFormatting sqref="F46">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8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2021-10-30T08:01:49Z</dcterms:created>
  <dcterms:modified xsi:type="dcterms:W3CDTF">2021-10-30T08:02:03Z</dcterms:modified>
</cp:coreProperties>
</file>